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mc:AlternateContent xmlns:mc="http://schemas.openxmlformats.org/markup-compatibility/2006">
    <mc:Choice Requires="x15">
      <x15ac:absPath xmlns:x15ac="http://schemas.microsoft.com/office/spreadsheetml/2010/11/ac" url="https://colbun.sharepoint.com/sites/AnlisisRazonado/Documentos compartidos/General/01 Análisis Razonado/2024/1Q24/"/>
    </mc:Choice>
  </mc:AlternateContent>
  <xr:revisionPtr revIDLastSave="15" documentId="8_{91A2C3C6-380F-49FA-A59A-D2ABB313A4EE}" xr6:coauthVersionLast="47" xr6:coauthVersionMax="47" xr10:uidLastSave="{96F9D0EB-8F0B-496E-9556-D59DB75E7189}"/>
  <bookViews>
    <workbookView xWindow="-28920" yWindow="-120" windowWidth="29040" windowHeight="15720" firstSheet="4" activeTab="5" xr2:uid="{00000000-000D-0000-FFFF-FFFF00000000}"/>
  </bookViews>
  <sheets>
    <sheet name="Index" sheetId="10" r:id="rId1"/>
    <sheet name="Installed Capacity" sheetId="12" r:id="rId2"/>
    <sheet name="PPAs" sheetId="15" r:id="rId3"/>
    <sheet name="Physical Sales &amp; Gx." sheetId="6" r:id="rId4"/>
    <sheet name="Income Statement" sheetId="1" r:id="rId5"/>
    <sheet name="Operating Income" sheetId="2" r:id="rId6"/>
    <sheet name="Non-Operating Income" sheetId="3" r:id="rId7"/>
    <sheet name="Balance Sheet" sheetId="4" r:id="rId8"/>
    <sheet name="Main Debt Items" sheetId="7" r:id="rId9"/>
    <sheet name="Amortization Profile" sheetId="8" r:id="rId10"/>
    <sheet name="Cash Flow" sheetId="5" r:id="rId11"/>
  </sheets>
  <externalReferences>
    <externalReference r:id="rId12"/>
    <externalReference r:id="rId13"/>
    <externalReference r:id="rId14"/>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W23" i="3" l="1"/>
  <c r="AV23" i="3"/>
  <c r="AU23" i="3"/>
  <c r="AT23" i="3"/>
  <c r="AS23" i="3"/>
  <c r="AN23" i="3"/>
  <c r="AO23" i="3"/>
  <c r="AP23" i="3"/>
  <c r="AQ23" i="3"/>
  <c r="AR23" i="3"/>
  <c r="AK16" i="4" l="1"/>
  <c r="E65" i="2"/>
  <c r="E52" i="2"/>
  <c r="E45" i="2"/>
  <c r="AW38" i="3"/>
  <c r="AW36" i="3"/>
  <c r="AW35" i="3"/>
  <c r="AW34" i="3"/>
  <c r="AW33" i="3"/>
  <c r="AW44" i="3"/>
  <c r="AW42" i="3"/>
  <c r="AW40" i="3"/>
  <c r="AW16" i="5"/>
  <c r="AW13" i="5"/>
  <c r="AW12" i="5"/>
  <c r="AW11" i="5"/>
  <c r="AW33" i="5"/>
  <c r="AW14" i="5" l="1"/>
  <c r="AV25" i="7"/>
  <c r="AV11" i="7"/>
  <c r="AK31" i="4" l="1"/>
  <c r="AK12" i="4"/>
  <c r="AK18" i="4"/>
  <c r="AT65" i="2"/>
  <c r="AT67" i="2" s="1"/>
  <c r="AU65" i="2"/>
  <c r="AU67" i="2" s="1"/>
  <c r="AV65" i="2"/>
  <c r="AV67" i="2" s="1"/>
  <c r="AW52" i="2"/>
  <c r="AT47" i="3"/>
  <c r="AU47" i="3"/>
  <c r="AW47" i="3"/>
  <c r="AT46" i="3"/>
  <c r="AU46" i="3"/>
  <c r="AW46" i="3"/>
  <c r="AS47" i="3"/>
  <c r="AS46" i="3"/>
  <c r="AW45" i="2"/>
  <c r="AW59" i="2" s="1"/>
  <c r="AW65" i="2" s="1"/>
  <c r="AW67" i="2" s="1"/>
  <c r="AW17" i="2"/>
  <c r="AW10" i="2"/>
  <c r="AW25" i="2" s="1"/>
  <c r="AW31" i="2" s="1"/>
  <c r="AW33" i="2" s="1"/>
  <c r="AW46" i="6"/>
  <c r="AW29" i="6"/>
  <c r="AW17" i="6"/>
  <c r="AW9" i="6"/>
  <c r="AT16" i="5"/>
  <c r="AV11" i="5"/>
  <c r="AV12" i="5"/>
  <c r="AT12" i="5"/>
  <c r="AT13" i="5"/>
  <c r="AV16" i="5"/>
  <c r="AT31" i="2"/>
  <c r="AT33" i="2" s="1"/>
  <c r="AR31" i="2"/>
  <c r="AR33" i="2" s="1"/>
  <c r="AH16" i="4"/>
  <c r="AH15" i="4"/>
  <c r="AH14" i="4"/>
  <c r="AH10" i="4"/>
  <c r="AH9" i="4"/>
  <c r="AF10" i="4"/>
  <c r="AF9" i="4"/>
  <c r="AV26" i="7" l="1"/>
  <c r="AV27" i="7" s="1"/>
  <c r="AH18" i="4"/>
  <c r="AJ16" i="4"/>
  <c r="AJ15" i="4"/>
  <c r="AJ14" i="4"/>
  <c r="AJ10" i="4"/>
  <c r="AJ9" i="4"/>
  <c r="AJ37" i="4"/>
  <c r="AJ18" i="4" s="1"/>
  <c r="AJ31" i="4"/>
  <c r="AJ12" i="4" s="1"/>
  <c r="AV13" i="5"/>
  <c r="AV33" i="5" l="1"/>
  <c r="AU25" i="7" l="1"/>
  <c r="AU11" i="7"/>
  <c r="AR30" i="5"/>
  <c r="AU12" i="5"/>
  <c r="AV14" i="5" l="1"/>
  <c r="AS11" i="2" l="1"/>
  <c r="AS12" i="2"/>
  <c r="AR17" i="2"/>
  <c r="AS17" i="2"/>
  <c r="AU17" i="2"/>
  <c r="AV17" i="2"/>
  <c r="AR52" i="2"/>
  <c r="AV10" i="2"/>
  <c r="AV25" i="2" l="1"/>
  <c r="AV31" i="2" s="1"/>
  <c r="AV33" i="2" s="1"/>
  <c r="AV12" i="7" s="1"/>
  <c r="AV13" i="7" s="1"/>
  <c r="AV44" i="3" l="1"/>
  <c r="AV40" i="3"/>
  <c r="AR15" i="3"/>
  <c r="AJ43" i="1"/>
  <c r="AV46" i="6"/>
  <c r="AR51" i="6"/>
  <c r="AV17" i="6"/>
  <c r="AV29" i="6"/>
  <c r="AV9" i="6"/>
  <c r="AV47" i="3" l="1"/>
  <c r="AV46" i="3"/>
  <c r="C26" i="12"/>
  <c r="AT11" i="5"/>
  <c r="AT33" i="5"/>
  <c r="AU33" i="5"/>
  <c r="AF16" i="4"/>
  <c r="AI10" i="4"/>
  <c r="AI9" i="4"/>
  <c r="AI12" i="4" s="1"/>
  <c r="AU11" i="5"/>
  <c r="G26" i="5"/>
  <c r="G27" i="5" s="1"/>
  <c r="G28" i="5" s="1"/>
  <c r="G29" i="5" s="1"/>
  <c r="G30" i="5" s="1"/>
  <c r="G31" i="5" s="1"/>
  <c r="G32" i="5" s="1"/>
  <c r="G33" i="5" s="1"/>
  <c r="G34" i="5" s="1"/>
  <c r="G35" i="5" s="1"/>
  <c r="G36" i="5" s="1"/>
  <c r="G37" i="5" s="1"/>
  <c r="G7" i="5"/>
  <c r="G8" i="5" s="1"/>
  <c r="G9" i="5" s="1"/>
  <c r="D25" i="5"/>
  <c r="C25" i="5"/>
  <c r="F21" i="7"/>
  <c r="F22" i="7" s="1"/>
  <c r="F23" i="7" s="1"/>
  <c r="F24" i="7" s="1"/>
  <c r="F25" i="7" s="1"/>
  <c r="F26" i="7" s="1"/>
  <c r="F27" i="7" s="1"/>
  <c r="F7" i="7"/>
  <c r="F8" i="7" s="1"/>
  <c r="F9" i="7" s="1"/>
  <c r="C20" i="7"/>
  <c r="C24" i="7" s="1"/>
  <c r="B20" i="7"/>
  <c r="B24" i="7" s="1"/>
  <c r="G26" i="4"/>
  <c r="G27" i="4" s="1"/>
  <c r="G28" i="4" s="1"/>
  <c r="G29" i="4" s="1"/>
  <c r="G30" i="4" s="1"/>
  <c r="G31" i="4" s="1"/>
  <c r="G32" i="4" s="1"/>
  <c r="G7" i="4"/>
  <c r="G8" i="4" s="1"/>
  <c r="G9" i="4" s="1"/>
  <c r="D25" i="4"/>
  <c r="C25" i="4"/>
  <c r="G31" i="3"/>
  <c r="G32" i="3" s="1"/>
  <c r="G33" i="3" s="1"/>
  <c r="G34" i="3" s="1"/>
  <c r="G7" i="3"/>
  <c r="G8" i="3" s="1"/>
  <c r="G9" i="3" s="1"/>
  <c r="D30" i="3"/>
  <c r="C30" i="3"/>
  <c r="G43" i="2"/>
  <c r="G44" i="2" s="1"/>
  <c r="G45" i="2" s="1"/>
  <c r="G46" i="2" s="1"/>
  <c r="G47" i="2" s="1"/>
  <c r="G48" i="2" s="1"/>
  <c r="G49" i="2" s="1"/>
  <c r="G50" i="2" s="1"/>
  <c r="G51" i="2" s="1"/>
  <c r="G52" i="2" s="1"/>
  <c r="G53" i="2" s="1"/>
  <c r="G54" i="2" s="1"/>
  <c r="G55" i="2" s="1"/>
  <c r="G56" i="2" s="1"/>
  <c r="G57" i="2" s="1"/>
  <c r="G58" i="2" s="1"/>
  <c r="G59" i="2" s="1"/>
  <c r="G60" i="2" s="1"/>
  <c r="G61" i="2" s="1"/>
  <c r="G62" i="2" s="1"/>
  <c r="G63" i="2" s="1"/>
  <c r="G64" i="2" s="1"/>
  <c r="G65" i="2" s="1"/>
  <c r="G66" i="2" s="1"/>
  <c r="G67" i="2" s="1"/>
  <c r="G8" i="2"/>
  <c r="G9" i="2" s="1"/>
  <c r="G10" i="2" s="1"/>
  <c r="D10" i="2" s="1"/>
  <c r="D42" i="2"/>
  <c r="D53" i="2" s="1"/>
  <c r="C42" i="2"/>
  <c r="C53" i="2" s="1"/>
  <c r="G7" i="1"/>
  <c r="G8" i="1" s="1"/>
  <c r="G9" i="1" s="1"/>
  <c r="AR39" i="6"/>
  <c r="G37" i="6"/>
  <c r="G38" i="6" s="1"/>
  <c r="G39" i="6" s="1"/>
  <c r="G40" i="6" s="1"/>
  <c r="G41" i="6" s="1"/>
  <c r="D36" i="6"/>
  <c r="C36" i="6"/>
  <c r="C11" i="6"/>
  <c r="G7" i="6"/>
  <c r="G8" i="6" s="1"/>
  <c r="G9" i="6" s="1"/>
  <c r="G10" i="6" s="1"/>
  <c r="G11" i="6" s="1"/>
  <c r="D11" i="6" s="1"/>
  <c r="C31" i="5" l="1"/>
  <c r="C32" i="5"/>
  <c r="C35" i="5"/>
  <c r="C30" i="5"/>
  <c r="D32" i="5"/>
  <c r="D33" i="5"/>
  <c r="D35" i="5"/>
  <c r="D30" i="5"/>
  <c r="D31" i="5"/>
  <c r="G10" i="5"/>
  <c r="G11" i="5" s="1"/>
  <c r="C9" i="5"/>
  <c r="C29" i="4"/>
  <c r="C23" i="7"/>
  <c r="D50" i="2"/>
  <c r="C63" i="2"/>
  <c r="C50" i="2"/>
  <c r="D52" i="2"/>
  <c r="G35" i="3"/>
  <c r="G36" i="3" s="1"/>
  <c r="G37" i="3" s="1"/>
  <c r="C34" i="3"/>
  <c r="D34" i="3"/>
  <c r="D9" i="4"/>
  <c r="G10" i="4"/>
  <c r="D9" i="1"/>
  <c r="G10" i="1"/>
  <c r="G33" i="4"/>
  <c r="C33" i="4" s="1"/>
  <c r="D41" i="6"/>
  <c r="C41" i="6"/>
  <c r="G42" i="6"/>
  <c r="C9" i="7"/>
  <c r="F10" i="7"/>
  <c r="C49" i="2"/>
  <c r="D49" i="2"/>
  <c r="G10" i="3"/>
  <c r="D31" i="4"/>
  <c r="C48" i="2"/>
  <c r="D48" i="2"/>
  <c r="C47" i="2"/>
  <c r="D47" i="2"/>
  <c r="E47" i="2" s="1"/>
  <c r="D29" i="4"/>
  <c r="C46" i="2"/>
  <c r="D46" i="2"/>
  <c r="C28" i="4"/>
  <c r="B23" i="7"/>
  <c r="D45" i="2"/>
  <c r="D33" i="3"/>
  <c r="D67" i="2"/>
  <c r="C66" i="2"/>
  <c r="D66" i="2"/>
  <c r="C36" i="3"/>
  <c r="D65" i="2"/>
  <c r="D63" i="2"/>
  <c r="C62" i="2"/>
  <c r="D62" i="2"/>
  <c r="D9" i="3"/>
  <c r="C61" i="2"/>
  <c r="D61" i="2"/>
  <c r="C25" i="7"/>
  <c r="D59" i="2"/>
  <c r="C57" i="2"/>
  <c r="D57" i="2"/>
  <c r="E57" i="2" s="1"/>
  <c r="D28" i="4"/>
  <c r="C56" i="2"/>
  <c r="D56" i="2"/>
  <c r="C33" i="3"/>
  <c r="C55" i="2"/>
  <c r="D55" i="2"/>
  <c r="E55" i="2" s="1"/>
  <c r="C54" i="2"/>
  <c r="D54" i="2"/>
  <c r="E54" i="2" s="1"/>
  <c r="D36" i="3"/>
  <c r="G11" i="2"/>
  <c r="D11" i="2" s="1"/>
  <c r="G12" i="6"/>
  <c r="AU16" i="5"/>
  <c r="AU38" i="3"/>
  <c r="AU12" i="3"/>
  <c r="AU13" i="3"/>
  <c r="AU11" i="3"/>
  <c r="AU10" i="3"/>
  <c r="AU9" i="3"/>
  <c r="AU17" i="3"/>
  <c r="AI16" i="4"/>
  <c r="AI15" i="4"/>
  <c r="AI14" i="4"/>
  <c r="AI18" i="4" s="1"/>
  <c r="G12" i="5" l="1"/>
  <c r="D11" i="5"/>
  <c r="E50" i="2"/>
  <c r="E33" i="3"/>
  <c r="AU15" i="3"/>
  <c r="C35" i="3"/>
  <c r="D35" i="3"/>
  <c r="D42" i="6"/>
  <c r="D39" i="6" s="1"/>
  <c r="C42" i="6"/>
  <c r="C39" i="6" s="1"/>
  <c r="G43" i="6"/>
  <c r="F11" i="7"/>
  <c r="C10" i="7"/>
  <c r="G34" i="4"/>
  <c r="D33" i="4"/>
  <c r="G13" i="6"/>
  <c r="C12" i="6"/>
  <c r="D12" i="6"/>
  <c r="C10" i="1"/>
  <c r="D10" i="1"/>
  <c r="G11" i="1"/>
  <c r="G11" i="4"/>
  <c r="D10" i="4"/>
  <c r="G11" i="3"/>
  <c r="D10" i="3"/>
  <c r="G38" i="3"/>
  <c r="C11" i="2"/>
  <c r="G12" i="2"/>
  <c r="D12" i="2" s="1"/>
  <c r="E35" i="5"/>
  <c r="E32" i="5"/>
  <c r="E30" i="5"/>
  <c r="G13" i="5" l="1"/>
  <c r="D12" i="5"/>
  <c r="E35" i="3"/>
  <c r="G14" i="6"/>
  <c r="C13" i="6"/>
  <c r="D13" i="6"/>
  <c r="G12" i="3"/>
  <c r="D11" i="3"/>
  <c r="D11" i="1"/>
  <c r="C11" i="1"/>
  <c r="G12" i="1"/>
  <c r="G13" i="1" s="1"/>
  <c r="G35" i="4"/>
  <c r="D34" i="4"/>
  <c r="C34" i="4"/>
  <c r="G44" i="6"/>
  <c r="C43" i="6"/>
  <c r="D43" i="6"/>
  <c r="C11" i="7"/>
  <c r="F12" i="7"/>
  <c r="G12" i="4"/>
  <c r="G39" i="3"/>
  <c r="D38" i="3"/>
  <c r="C12" i="2"/>
  <c r="G13" i="2"/>
  <c r="D13" i="2" s="1"/>
  <c r="G14" i="5" l="1"/>
  <c r="D13" i="5"/>
  <c r="G36" i="4"/>
  <c r="C35" i="4"/>
  <c r="D35" i="4"/>
  <c r="D13" i="1"/>
  <c r="G14" i="1"/>
  <c r="G13" i="3"/>
  <c r="D12" i="3"/>
  <c r="G13" i="4"/>
  <c r="D12" i="4"/>
  <c r="F13" i="7"/>
  <c r="G45" i="6"/>
  <c r="G46" i="6" s="1"/>
  <c r="C44" i="6"/>
  <c r="D44" i="6"/>
  <c r="G40" i="3"/>
  <c r="G15" i="6"/>
  <c r="C13" i="2"/>
  <c r="G14" i="2"/>
  <c r="D14" i="2" s="1"/>
  <c r="AU13" i="5"/>
  <c r="G15" i="5" l="1"/>
  <c r="G16" i="5" s="1"/>
  <c r="D14" i="5"/>
  <c r="AU14" i="5"/>
  <c r="G41" i="3"/>
  <c r="C40" i="3"/>
  <c r="D40" i="3"/>
  <c r="D46" i="6"/>
  <c r="G47" i="6"/>
  <c r="G48" i="6" s="1"/>
  <c r="G14" i="4"/>
  <c r="C14" i="1"/>
  <c r="D14" i="1"/>
  <c r="G15" i="1"/>
  <c r="G16" i="6"/>
  <c r="G17" i="6" s="1"/>
  <c r="C15" i="6"/>
  <c r="D15" i="6"/>
  <c r="G14" i="3"/>
  <c r="D13" i="3"/>
  <c r="G37" i="4"/>
  <c r="C14" i="2"/>
  <c r="G15" i="2"/>
  <c r="D15" i="2" s="1"/>
  <c r="AU37" i="5"/>
  <c r="AT25" i="7"/>
  <c r="AT27" i="7" s="1"/>
  <c r="AT11" i="7"/>
  <c r="G17" i="5" l="1"/>
  <c r="G18" i="5" s="1"/>
  <c r="D16" i="5"/>
  <c r="E40" i="3"/>
  <c r="AU18" i="5"/>
  <c r="AV28" i="5"/>
  <c r="AV37" i="5" s="1"/>
  <c r="AW28" i="5" s="1"/>
  <c r="G15" i="3"/>
  <c r="G18" i="6"/>
  <c r="D17" i="6"/>
  <c r="D14" i="4"/>
  <c r="G15" i="4"/>
  <c r="D48" i="6"/>
  <c r="G49" i="6"/>
  <c r="C48" i="6"/>
  <c r="D15" i="1"/>
  <c r="G16" i="1"/>
  <c r="C15" i="1"/>
  <c r="D37" i="4"/>
  <c r="G42" i="3"/>
  <c r="C15" i="2"/>
  <c r="G16" i="2"/>
  <c r="AH31" i="4"/>
  <c r="AW37" i="5" l="1"/>
  <c r="D37" i="5" s="1"/>
  <c r="D28" i="5"/>
  <c r="AV9" i="5"/>
  <c r="G43" i="3"/>
  <c r="C42" i="3"/>
  <c r="D42" i="3"/>
  <c r="D49" i="6"/>
  <c r="C49" i="6"/>
  <c r="G50" i="6"/>
  <c r="D15" i="4"/>
  <c r="G16" i="4"/>
  <c r="D16" i="1"/>
  <c r="G17" i="1"/>
  <c r="C16" i="1"/>
  <c r="G19" i="6"/>
  <c r="G16" i="3"/>
  <c r="D15" i="3"/>
  <c r="G17" i="2"/>
  <c r="D17" i="2" s="1"/>
  <c r="AH12" i="4"/>
  <c r="AH37" i="4"/>
  <c r="AI37" i="4"/>
  <c r="E36" i="3"/>
  <c r="AT15" i="3"/>
  <c r="AP46" i="3"/>
  <c r="E42" i="3" l="1"/>
  <c r="AV18" i="5"/>
  <c r="AW9" i="5" s="1"/>
  <c r="G17" i="3"/>
  <c r="D17" i="1"/>
  <c r="G18" i="1"/>
  <c r="C17" i="1"/>
  <c r="D16" i="4"/>
  <c r="G17" i="4"/>
  <c r="D50" i="6"/>
  <c r="G51" i="6"/>
  <c r="C50" i="6"/>
  <c r="G20" i="6"/>
  <c r="D19" i="6"/>
  <c r="C19" i="6"/>
  <c r="G44" i="3"/>
  <c r="G18" i="2"/>
  <c r="D18" i="2" s="1"/>
  <c r="AU45" i="2"/>
  <c r="AG21" i="1"/>
  <c r="AG27" i="1" s="1"/>
  <c r="AH21" i="1"/>
  <c r="AH27" i="1" s="1"/>
  <c r="AI21" i="1"/>
  <c r="AI27" i="1" s="1"/>
  <c r="D9" i="6"/>
  <c r="AS24" i="6"/>
  <c r="AT24" i="6"/>
  <c r="AU24" i="6"/>
  <c r="AS9" i="6"/>
  <c r="AT9" i="6"/>
  <c r="AU9" i="6"/>
  <c r="AR29" i="6"/>
  <c r="AS29" i="6"/>
  <c r="AT29" i="6"/>
  <c r="AU29" i="6"/>
  <c r="AU20" i="6"/>
  <c r="AW18" i="5" l="1"/>
  <c r="D18" i="5" s="1"/>
  <c r="D9" i="5"/>
  <c r="G45" i="3"/>
  <c r="D44" i="3"/>
  <c r="G21" i="6"/>
  <c r="D20" i="6"/>
  <c r="G18" i="4"/>
  <c r="D18" i="4" s="1"/>
  <c r="D17" i="3"/>
  <c r="G18" i="3"/>
  <c r="D51" i="6"/>
  <c r="D18" i="1"/>
  <c r="G19" i="1"/>
  <c r="C18" i="1"/>
  <c r="C18" i="2"/>
  <c r="G19" i="2"/>
  <c r="D19" i="2" s="1"/>
  <c r="C9" i="6"/>
  <c r="D19" i="1" l="1"/>
  <c r="G20" i="1"/>
  <c r="G21" i="1" s="1"/>
  <c r="C19" i="1"/>
  <c r="G19" i="3"/>
  <c r="G46" i="3"/>
  <c r="G22" i="6"/>
  <c r="C21" i="6"/>
  <c r="D21" i="6"/>
  <c r="G20" i="2"/>
  <c r="D20" i="2" s="1"/>
  <c r="C19" i="2"/>
  <c r="AS23" i="7"/>
  <c r="AS9" i="7"/>
  <c r="AS11" i="7" s="1"/>
  <c r="G23" i="6" l="1"/>
  <c r="D22" i="6"/>
  <c r="C22" i="6"/>
  <c r="G47" i="3"/>
  <c r="D46" i="3"/>
  <c r="G22" i="1"/>
  <c r="G23" i="1" s="1"/>
  <c r="D21" i="1"/>
  <c r="D19" i="3"/>
  <c r="G20" i="3"/>
  <c r="G21" i="2"/>
  <c r="D21" i="2" s="1"/>
  <c r="C20" i="2"/>
  <c r="C19" i="12"/>
  <c r="AT14" i="5" l="1"/>
  <c r="AT18" i="5" s="1"/>
  <c r="G21" i="3"/>
  <c r="C23" i="1"/>
  <c r="D23" i="1"/>
  <c r="G24" i="1"/>
  <c r="D47" i="3"/>
  <c r="G24" i="6"/>
  <c r="D23" i="6"/>
  <c r="C23" i="6"/>
  <c r="G22" i="2"/>
  <c r="D22" i="2" s="1"/>
  <c r="C21" i="2"/>
  <c r="G25" i="6" l="1"/>
  <c r="D24" i="6"/>
  <c r="D21" i="3"/>
  <c r="G22" i="3"/>
  <c r="D24" i="1"/>
  <c r="G25" i="1"/>
  <c r="C24" i="1"/>
  <c r="G23" i="2"/>
  <c r="D23" i="2" s="1"/>
  <c r="C22" i="2"/>
  <c r="AP15" i="3"/>
  <c r="C25" i="1" l="1"/>
  <c r="D25" i="1"/>
  <c r="G26" i="1"/>
  <c r="G27" i="1" s="1"/>
  <c r="G23" i="3"/>
  <c r="G26" i="6"/>
  <c r="C25" i="6"/>
  <c r="D25" i="6"/>
  <c r="G24" i="2"/>
  <c r="C23" i="2"/>
  <c r="D23" i="3" l="1"/>
  <c r="G27" i="6"/>
  <c r="C26" i="6"/>
  <c r="D26" i="6"/>
  <c r="G28" i="1"/>
  <c r="D27" i="1"/>
  <c r="G25" i="2"/>
  <c r="D25" i="2" s="1"/>
  <c r="AS25" i="7"/>
  <c r="E26" i="6" l="1"/>
  <c r="G29" i="1"/>
  <c r="C28" i="1"/>
  <c r="D28" i="1"/>
  <c r="G28" i="6"/>
  <c r="C27" i="6"/>
  <c r="D27" i="6"/>
  <c r="G26" i="2"/>
  <c r="AS27" i="7"/>
  <c r="C35" i="12"/>
  <c r="C15" i="12"/>
  <c r="C27" i="12" s="1"/>
  <c r="AS16" i="5"/>
  <c r="C16" i="5" s="1"/>
  <c r="E16" i="5" s="1"/>
  <c r="AS13" i="5"/>
  <c r="C13" i="5" s="1"/>
  <c r="E13" i="5" s="1"/>
  <c r="AS12" i="5"/>
  <c r="C12" i="5" s="1"/>
  <c r="AS11" i="5"/>
  <c r="C11" i="5" s="1"/>
  <c r="E11" i="5" s="1"/>
  <c r="AS33" i="5"/>
  <c r="C33" i="5" s="1"/>
  <c r="AS14" i="5" l="1"/>
  <c r="C14" i="5" s="1"/>
  <c r="G29" i="6"/>
  <c r="G30" i="1"/>
  <c r="G31" i="1" s="1"/>
  <c r="D29" i="1"/>
  <c r="G27" i="2"/>
  <c r="D27" i="2" s="1"/>
  <c r="C36" i="12"/>
  <c r="C38" i="12" s="1"/>
  <c r="AS10" i="2"/>
  <c r="AS25" i="2" s="1"/>
  <c r="AG37" i="4"/>
  <c r="AG31" i="4"/>
  <c r="AG16" i="4"/>
  <c r="C16" i="4" s="1"/>
  <c r="AG15" i="4"/>
  <c r="AG14" i="4"/>
  <c r="AG10" i="4"/>
  <c r="AG9" i="4"/>
  <c r="AS19" i="3"/>
  <c r="AS17" i="3"/>
  <c r="AS31" i="2" l="1"/>
  <c r="AS33" i="2" s="1"/>
  <c r="C25" i="2"/>
  <c r="AS18" i="5"/>
  <c r="C18" i="5" s="1"/>
  <c r="G32" i="1"/>
  <c r="C31" i="1"/>
  <c r="D31" i="1"/>
  <c r="C29" i="6"/>
  <c r="D29" i="6"/>
  <c r="C27" i="2"/>
  <c r="G28" i="2"/>
  <c r="D28" i="2" s="1"/>
  <c r="AS21" i="3"/>
  <c r="AG12" i="4"/>
  <c r="AG18" i="4"/>
  <c r="AS15" i="3"/>
  <c r="AO29" i="6"/>
  <c r="AR10" i="7"/>
  <c r="B10" i="7" s="1"/>
  <c r="AR9" i="7"/>
  <c r="B9" i="7" s="1"/>
  <c r="AS59" i="2"/>
  <c r="AR25" i="7"/>
  <c r="AR11" i="7" s="1"/>
  <c r="E31" i="1" l="1"/>
  <c r="AT12" i="7"/>
  <c r="AT13" i="7" s="1"/>
  <c r="AU12" i="7"/>
  <c r="AU13" i="7" s="1"/>
  <c r="C13" i="7" s="1"/>
  <c r="AS65" i="2"/>
  <c r="AS67" i="2" s="1"/>
  <c r="AU26" i="7" s="1"/>
  <c r="AU27" i="7" s="1"/>
  <c r="C27" i="7"/>
  <c r="C26" i="7"/>
  <c r="C12" i="7"/>
  <c r="G33" i="1"/>
  <c r="C32" i="1"/>
  <c r="D32" i="1"/>
  <c r="G29" i="2"/>
  <c r="D29" i="2" s="1"/>
  <c r="C28" i="2"/>
  <c r="AR35" i="5"/>
  <c r="AQ11" i="7"/>
  <c r="AM9" i="7"/>
  <c r="AM10" i="7"/>
  <c r="AM12" i="7"/>
  <c r="AR17" i="3"/>
  <c r="C17" i="3" s="1"/>
  <c r="E17" i="3" s="1"/>
  <c r="AR19" i="3"/>
  <c r="C19" i="3" s="1"/>
  <c r="E19" i="3" s="1"/>
  <c r="AR44" i="3"/>
  <c r="C52" i="2"/>
  <c r="AR45" i="2"/>
  <c r="C45" i="2" s="1"/>
  <c r="E63" i="2"/>
  <c r="E61" i="2"/>
  <c r="E23" i="2"/>
  <c r="AP20" i="6"/>
  <c r="AP24" i="6"/>
  <c r="AR20" i="6"/>
  <c r="C20" i="6" s="1"/>
  <c r="AR24" i="6"/>
  <c r="C24" i="6" s="1"/>
  <c r="A7" i="6"/>
  <c r="A8" i="6" s="1"/>
  <c r="A9" i="6" s="1"/>
  <c r="AR11" i="5"/>
  <c r="AR31" i="5"/>
  <c r="AR13" i="5"/>
  <c r="AQ25" i="7"/>
  <c r="AF15" i="4"/>
  <c r="C15" i="4" s="1"/>
  <c r="AF14" i="4"/>
  <c r="C14" i="4" s="1"/>
  <c r="C10" i="4"/>
  <c r="C9" i="4"/>
  <c r="AF37" i="4"/>
  <c r="C37" i="4" s="1"/>
  <c r="AF31" i="4"/>
  <c r="C31" i="4" s="1"/>
  <c r="C9" i="3"/>
  <c r="E9" i="3" s="1"/>
  <c r="C10" i="3"/>
  <c r="E10" i="3" s="1"/>
  <c r="C11" i="3"/>
  <c r="C12" i="3"/>
  <c r="E12" i="3" s="1"/>
  <c r="C13" i="3"/>
  <c r="E13" i="3" s="1"/>
  <c r="AR38" i="3"/>
  <c r="C38" i="3" s="1"/>
  <c r="AQ38" i="3"/>
  <c r="AQ15" i="3"/>
  <c r="AQ31" i="2"/>
  <c r="AQ33" i="2" s="1"/>
  <c r="AS12" i="7" s="1"/>
  <c r="AS13" i="7" s="1"/>
  <c r="AQ52" i="2"/>
  <c r="AQ45" i="2"/>
  <c r="AP45" i="2"/>
  <c r="C17" i="2"/>
  <c r="AQ17" i="2"/>
  <c r="AR10" i="2"/>
  <c r="C10" i="2" s="1"/>
  <c r="AQ10" i="2"/>
  <c r="AF37" i="1"/>
  <c r="AE37" i="1"/>
  <c r="AD37" i="1"/>
  <c r="AF13" i="1"/>
  <c r="C13" i="1" s="1"/>
  <c r="AF9" i="1"/>
  <c r="C9" i="1" s="1"/>
  <c r="AE13" i="1"/>
  <c r="AE21" i="1" s="1"/>
  <c r="AD13" i="1"/>
  <c r="C51" i="6"/>
  <c r="AR46" i="6"/>
  <c r="C46" i="6" s="1"/>
  <c r="AR9" i="6"/>
  <c r="AQ9" i="6"/>
  <c r="AE18" i="4"/>
  <c r="AQ33" i="5"/>
  <c r="AQ14" i="5"/>
  <c r="AQ18" i="5" s="1"/>
  <c r="AQ37" i="5" s="1"/>
  <c r="AP25" i="7"/>
  <c r="AP27" i="7" s="1"/>
  <c r="AP11" i="7"/>
  <c r="AP13" i="7" s="1"/>
  <c r="AQ29" i="6"/>
  <c r="AE37" i="4"/>
  <c r="AE31" i="4"/>
  <c r="AE12" i="4"/>
  <c r="AQ51" i="6"/>
  <c r="AL15" i="2"/>
  <c r="AM10" i="2"/>
  <c r="AO10" i="2"/>
  <c r="AP10" i="2"/>
  <c r="AL10" i="2"/>
  <c r="AP38" i="3"/>
  <c r="AP33" i="5"/>
  <c r="AP37" i="5" s="1"/>
  <c r="AP14" i="5"/>
  <c r="AP18" i="5" s="1"/>
  <c r="AO25" i="7"/>
  <c r="AO11" i="7"/>
  <c r="AO13" i="7" s="1"/>
  <c r="AD37" i="4"/>
  <c r="AD31" i="4"/>
  <c r="AD12" i="4"/>
  <c r="AD18" i="4"/>
  <c r="AP52" i="2"/>
  <c r="AP31" i="2"/>
  <c r="AP33" i="2" s="1"/>
  <c r="AP17" i="2"/>
  <c r="AD9" i="1"/>
  <c r="AP51" i="6"/>
  <c r="AP46" i="6"/>
  <c r="AP29" i="6"/>
  <c r="AO33" i="5"/>
  <c r="AO37" i="5" s="1"/>
  <c r="AO14" i="5"/>
  <c r="AO18" i="5" s="1"/>
  <c r="AN24" i="7"/>
  <c r="AN10" i="7"/>
  <c r="AN23" i="7"/>
  <c r="AN9" i="7"/>
  <c r="AC37" i="4"/>
  <c r="AC31" i="4"/>
  <c r="AC18" i="4"/>
  <c r="AC12" i="4"/>
  <c r="AO47" i="3"/>
  <c r="AO21" i="3"/>
  <c r="AO19" i="3"/>
  <c r="AO9" i="3"/>
  <c r="AO10" i="3"/>
  <c r="AO11" i="3"/>
  <c r="AO13" i="3"/>
  <c r="AO38" i="3"/>
  <c r="AO52" i="2"/>
  <c r="AO45" i="2"/>
  <c r="AO31" i="2"/>
  <c r="AO33" i="2" s="1"/>
  <c r="AO17" i="2"/>
  <c r="AC37" i="1"/>
  <c r="AC13" i="1"/>
  <c r="AC9" i="1"/>
  <c r="AO51" i="6"/>
  <c r="AO46" i="6"/>
  <c r="AO39" i="6"/>
  <c r="AO24" i="6"/>
  <c r="AO20" i="6"/>
  <c r="AO9" i="6"/>
  <c r="AM25" i="7"/>
  <c r="AM27" i="7" s="1"/>
  <c r="AB16" i="4"/>
  <c r="AB15" i="4"/>
  <c r="AB14" i="4"/>
  <c r="AB10" i="4"/>
  <c r="AB9" i="4"/>
  <c r="AB31" i="4"/>
  <c r="AB37" i="4"/>
  <c r="AN47" i="3"/>
  <c r="AN21" i="3"/>
  <c r="AN19" i="3"/>
  <c r="AN17" i="3"/>
  <c r="AM17" i="3"/>
  <c r="AN38" i="3"/>
  <c r="AN13" i="3"/>
  <c r="AN11" i="3"/>
  <c r="AN10" i="3"/>
  <c r="AN9" i="3"/>
  <c r="AN52" i="2"/>
  <c r="AN45" i="2"/>
  <c r="AN31" i="2"/>
  <c r="AN17" i="2"/>
  <c r="AB37" i="1"/>
  <c r="AB13" i="1"/>
  <c r="AB9" i="1"/>
  <c r="AN51" i="6"/>
  <c r="AN46" i="6"/>
  <c r="AN39" i="6"/>
  <c r="AN29" i="6"/>
  <c r="AM29" i="6"/>
  <c r="AN20" i="6"/>
  <c r="AM20" i="6"/>
  <c r="AN24" i="6"/>
  <c r="AN9" i="6"/>
  <c r="AM13" i="3"/>
  <c r="AM35" i="5"/>
  <c r="AM16" i="5" s="1"/>
  <c r="AM31" i="5"/>
  <c r="AM12" i="5" s="1"/>
  <c r="AM32" i="5"/>
  <c r="AM13" i="5" s="1"/>
  <c r="AM30" i="5"/>
  <c r="AM11" i="5" s="1"/>
  <c r="AL12" i="7"/>
  <c r="AL10" i="7"/>
  <c r="AL9" i="7"/>
  <c r="AL25" i="7"/>
  <c r="AL27" i="7" s="1"/>
  <c r="AA16" i="4"/>
  <c r="AA15" i="4"/>
  <c r="AA14" i="4"/>
  <c r="AA10" i="4"/>
  <c r="AA9" i="4"/>
  <c r="AA37" i="4"/>
  <c r="AA31" i="4"/>
  <c r="AM19" i="3"/>
  <c r="AM11" i="3"/>
  <c r="AM10" i="3"/>
  <c r="AM9" i="3"/>
  <c r="AM44" i="3"/>
  <c r="AM21" i="3" s="1"/>
  <c r="AM38" i="3"/>
  <c r="AK9" i="3"/>
  <c r="AK10" i="3"/>
  <c r="AK11" i="3"/>
  <c r="AK13" i="3"/>
  <c r="AL9" i="3"/>
  <c r="AL10" i="3"/>
  <c r="AL11" i="3"/>
  <c r="AL13" i="3"/>
  <c r="AI28" i="2"/>
  <c r="AI18" i="2"/>
  <c r="AI23" i="2"/>
  <c r="AM27" i="2"/>
  <c r="AM17" i="2"/>
  <c r="AM52" i="2"/>
  <c r="AM45" i="2"/>
  <c r="AA37" i="1"/>
  <c r="AA13" i="1"/>
  <c r="AA9" i="1"/>
  <c r="AM51" i="6"/>
  <c r="AM46" i="6"/>
  <c r="AM39" i="6"/>
  <c r="AM24" i="6"/>
  <c r="AM9" i="6"/>
  <c r="AK10" i="7"/>
  <c r="AL16" i="5"/>
  <c r="AL13" i="5"/>
  <c r="AL12" i="5"/>
  <c r="AL11" i="5"/>
  <c r="AL33" i="5"/>
  <c r="AK9" i="7"/>
  <c r="Z37" i="4"/>
  <c r="Z16" i="4"/>
  <c r="Z9" i="4"/>
  <c r="AL19" i="3"/>
  <c r="AL17" i="3"/>
  <c r="AL29" i="2"/>
  <c r="AL28" i="2"/>
  <c r="AL27" i="2"/>
  <c r="Z29" i="1"/>
  <c r="AK25" i="7"/>
  <c r="AK11" i="7" s="1"/>
  <c r="E35" i="4"/>
  <c r="Z15" i="4"/>
  <c r="Z14" i="4"/>
  <c r="Z10" i="4"/>
  <c r="Z31" i="4"/>
  <c r="AL44" i="3"/>
  <c r="AL46" i="3" s="1"/>
  <c r="AL38" i="3"/>
  <c r="AH33" i="2"/>
  <c r="AG29" i="2"/>
  <c r="AG28" i="2"/>
  <c r="AG27" i="2"/>
  <c r="AH29" i="2"/>
  <c r="AH28" i="2"/>
  <c r="AH27" i="2"/>
  <c r="AG23" i="2"/>
  <c r="AG20" i="2"/>
  <c r="AG19" i="2"/>
  <c r="AG18" i="2"/>
  <c r="AH23" i="2"/>
  <c r="AH21" i="2"/>
  <c r="AH20" i="2"/>
  <c r="AH19" i="2"/>
  <c r="AH18" i="2"/>
  <c r="AK29" i="2"/>
  <c r="AK28" i="2"/>
  <c r="AK27" i="2"/>
  <c r="AK23" i="2"/>
  <c r="AK21" i="2"/>
  <c r="AK20" i="2"/>
  <c r="AK19" i="2"/>
  <c r="AK18" i="2"/>
  <c r="AL52" i="2"/>
  <c r="AL45" i="2"/>
  <c r="Z37" i="1"/>
  <c r="Z13" i="1"/>
  <c r="Z9" i="1"/>
  <c r="AL51" i="6"/>
  <c r="AL46" i="6"/>
  <c r="AL39" i="6"/>
  <c r="AL29" i="6"/>
  <c r="AL24" i="6"/>
  <c r="AL20" i="6"/>
  <c r="AL17" i="6" s="1"/>
  <c r="AL9" i="6"/>
  <c r="AL17" i="2"/>
  <c r="AJ10" i="7"/>
  <c r="AJ9" i="7"/>
  <c r="AK16" i="5"/>
  <c r="AK13" i="5"/>
  <c r="AK12" i="5"/>
  <c r="AK11" i="5"/>
  <c r="AK33" i="5"/>
  <c r="AK37" i="5" s="1"/>
  <c r="AJ9" i="5"/>
  <c r="AJ25" i="7"/>
  <c r="AJ27" i="7" s="1"/>
  <c r="Y16" i="4"/>
  <c r="Y15" i="4"/>
  <c r="Y14" i="4"/>
  <c r="Y10" i="4"/>
  <c r="Y9" i="4"/>
  <c r="Y37" i="4"/>
  <c r="Y31" i="4"/>
  <c r="AK19" i="3"/>
  <c r="AG15" i="3"/>
  <c r="AK17" i="3"/>
  <c r="AK44" i="3"/>
  <c r="AK47" i="3" s="1"/>
  <c r="AK38" i="3"/>
  <c r="AG17" i="3"/>
  <c r="AG21" i="3" s="1"/>
  <c r="AK15" i="2"/>
  <c r="AK14" i="2"/>
  <c r="AK13" i="2"/>
  <c r="AK12" i="2"/>
  <c r="AK11" i="2"/>
  <c r="AK52" i="2"/>
  <c r="AK45" i="2"/>
  <c r="Y37" i="1"/>
  <c r="Y13" i="1"/>
  <c r="Y9" i="1"/>
  <c r="AK51" i="6"/>
  <c r="AH46" i="6"/>
  <c r="AI46" i="6"/>
  <c r="AJ46" i="6"/>
  <c r="AK46" i="6"/>
  <c r="AH39" i="6"/>
  <c r="AI39" i="6"/>
  <c r="AJ39" i="6"/>
  <c r="AK39" i="6"/>
  <c r="AK24" i="6"/>
  <c r="AK29" i="6"/>
  <c r="AH24" i="6"/>
  <c r="AI24" i="6"/>
  <c r="AJ24" i="6"/>
  <c r="AH20" i="6"/>
  <c r="AI20" i="6"/>
  <c r="AJ20" i="6"/>
  <c r="AK20" i="6"/>
  <c r="AH9" i="6"/>
  <c r="AI9" i="6"/>
  <c r="AJ9" i="6"/>
  <c r="AK9" i="6"/>
  <c r="AI21" i="3"/>
  <c r="AI23" i="3"/>
  <c r="AI47" i="3"/>
  <c r="S47" i="3"/>
  <c r="T47" i="3"/>
  <c r="R47" i="3"/>
  <c r="Q47" i="3"/>
  <c r="AJ33" i="5"/>
  <c r="AJ37" i="5" s="1"/>
  <c r="AJ16" i="5"/>
  <c r="AJ13" i="5"/>
  <c r="AJ12" i="5"/>
  <c r="AJ11" i="5"/>
  <c r="AI12" i="7"/>
  <c r="AI24" i="7"/>
  <c r="AI10" i="7" s="1"/>
  <c r="AI23" i="7"/>
  <c r="AI9" i="7" s="1"/>
  <c r="X16" i="4"/>
  <c r="X15" i="4"/>
  <c r="X14" i="4"/>
  <c r="X10" i="4"/>
  <c r="X9" i="4"/>
  <c r="X37" i="4"/>
  <c r="X31" i="4"/>
  <c r="AJ19" i="3"/>
  <c r="AJ17" i="3"/>
  <c r="AJ13" i="3"/>
  <c r="AJ11" i="3"/>
  <c r="AJ10" i="3"/>
  <c r="AJ9" i="3"/>
  <c r="AJ44" i="3"/>
  <c r="AJ47" i="3" s="1"/>
  <c r="AJ46" i="3" s="1"/>
  <c r="AJ23" i="3" s="1"/>
  <c r="AJ38" i="3"/>
  <c r="AJ29" i="2"/>
  <c r="AJ28" i="2"/>
  <c r="AJ27" i="2"/>
  <c r="AJ22" i="2"/>
  <c r="AJ23" i="2"/>
  <c r="AJ20" i="2"/>
  <c r="AJ19" i="2"/>
  <c r="AJ18" i="2"/>
  <c r="AJ15" i="2"/>
  <c r="AJ13" i="2"/>
  <c r="AJ12" i="2"/>
  <c r="AJ11" i="2"/>
  <c r="AJ52" i="2"/>
  <c r="AJ45" i="2"/>
  <c r="U37" i="1"/>
  <c r="V37" i="1"/>
  <c r="W37" i="1"/>
  <c r="X37" i="1"/>
  <c r="U13" i="1"/>
  <c r="V13" i="1"/>
  <c r="W13" i="1"/>
  <c r="X13" i="1"/>
  <c r="X9" i="1"/>
  <c r="AJ51" i="6"/>
  <c r="AJ29" i="6"/>
  <c r="AB52" i="2"/>
  <c r="AB21" i="2"/>
  <c r="AB23" i="2"/>
  <c r="AB20" i="2"/>
  <c r="AB19" i="2"/>
  <c r="AB18" i="2"/>
  <c r="AB15" i="2"/>
  <c r="AB13" i="2"/>
  <c r="AB12" i="2"/>
  <c r="AB11" i="2"/>
  <c r="AD20" i="2"/>
  <c r="AD19" i="2"/>
  <c r="AD23" i="2"/>
  <c r="AD18" i="2"/>
  <c r="AE9" i="5"/>
  <c r="J9" i="5"/>
  <c r="K9" i="5"/>
  <c r="L9" i="5"/>
  <c r="M9" i="5"/>
  <c r="N9" i="5"/>
  <c r="O9" i="5"/>
  <c r="P9" i="5"/>
  <c r="Q9" i="5"/>
  <c r="R9" i="5"/>
  <c r="S9" i="5"/>
  <c r="T9" i="5"/>
  <c r="U9" i="5"/>
  <c r="AE9" i="3"/>
  <c r="AI11" i="2"/>
  <c r="AI16" i="5"/>
  <c r="AI13" i="5"/>
  <c r="AI12" i="5"/>
  <c r="AI11" i="5"/>
  <c r="AI33" i="5"/>
  <c r="AH10" i="7"/>
  <c r="AH9" i="7"/>
  <c r="W37" i="4"/>
  <c r="W16" i="4"/>
  <c r="W15" i="4"/>
  <c r="W14" i="4"/>
  <c r="W10" i="4"/>
  <c r="W9" i="4"/>
  <c r="W31" i="4"/>
  <c r="AI17" i="3"/>
  <c r="AI10" i="3"/>
  <c r="AI13" i="3"/>
  <c r="AI11" i="3"/>
  <c r="AI9" i="3"/>
  <c r="AI38" i="3"/>
  <c r="AH17" i="3"/>
  <c r="AH21" i="3" s="1"/>
  <c r="AI33" i="2"/>
  <c r="AI29" i="2"/>
  <c r="AI27" i="2"/>
  <c r="AI20" i="2"/>
  <c r="AI19" i="2"/>
  <c r="AI15" i="2"/>
  <c r="AI13" i="2"/>
  <c r="AI12" i="2"/>
  <c r="AI52" i="2"/>
  <c r="AI45" i="2"/>
  <c r="W9" i="1"/>
  <c r="AI51" i="6"/>
  <c r="AI29" i="6"/>
  <c r="AH12" i="5"/>
  <c r="AH11" i="5"/>
  <c r="AH16" i="5"/>
  <c r="AH13" i="5"/>
  <c r="AH33" i="5"/>
  <c r="AG10" i="7"/>
  <c r="AG9" i="7"/>
  <c r="AG25" i="7"/>
  <c r="V16" i="4"/>
  <c r="V15" i="4"/>
  <c r="V14" i="4"/>
  <c r="V10" i="4"/>
  <c r="V9" i="4"/>
  <c r="V37" i="4"/>
  <c r="V31" i="4"/>
  <c r="AH46" i="3"/>
  <c r="AH13" i="3"/>
  <c r="AH11" i="3"/>
  <c r="AH10" i="3"/>
  <c r="AH9" i="3"/>
  <c r="AH38" i="3"/>
  <c r="AH15" i="2"/>
  <c r="AH13" i="2"/>
  <c r="AH12" i="2"/>
  <c r="AH11" i="2"/>
  <c r="AH52" i="2"/>
  <c r="AH45" i="2"/>
  <c r="V9" i="1"/>
  <c r="AH51" i="6"/>
  <c r="AH29" i="6"/>
  <c r="U46" i="3"/>
  <c r="U21" i="3"/>
  <c r="V46" i="3"/>
  <c r="W46" i="3"/>
  <c r="X46" i="3"/>
  <c r="Y46" i="3"/>
  <c r="Z46" i="3"/>
  <c r="AA46" i="3"/>
  <c r="V21" i="3"/>
  <c r="W21" i="3"/>
  <c r="X21" i="3"/>
  <c r="Y21" i="3"/>
  <c r="Z21" i="3"/>
  <c r="AA21" i="3"/>
  <c r="AD21" i="3"/>
  <c r="AF21" i="3"/>
  <c r="AF23" i="2"/>
  <c r="AF21" i="2"/>
  <c r="AF20" i="2"/>
  <c r="AF19" i="2"/>
  <c r="AF18" i="2"/>
  <c r="AF15" i="2"/>
  <c r="AF14" i="2"/>
  <c r="AF13" i="2"/>
  <c r="AF12" i="2"/>
  <c r="AF11" i="2"/>
  <c r="R46" i="3"/>
  <c r="S46" i="3"/>
  <c r="T46" i="3"/>
  <c r="Q46" i="3"/>
  <c r="AG12" i="2"/>
  <c r="AG11" i="2"/>
  <c r="AG13" i="2"/>
  <c r="AG39" i="6"/>
  <c r="AG16" i="5"/>
  <c r="AG13" i="5"/>
  <c r="AG12" i="5"/>
  <c r="AG11" i="5"/>
  <c r="AG33" i="5"/>
  <c r="AF10" i="7"/>
  <c r="AF9" i="7"/>
  <c r="AF25" i="7"/>
  <c r="AF27" i="7" s="1"/>
  <c r="U16" i="4"/>
  <c r="U15" i="4"/>
  <c r="U14" i="4"/>
  <c r="U10" i="4"/>
  <c r="U9" i="4"/>
  <c r="U37" i="4"/>
  <c r="U31" i="4"/>
  <c r="AC17" i="3"/>
  <c r="AC21" i="3" s="1"/>
  <c r="AC13" i="3"/>
  <c r="AC11" i="3"/>
  <c r="AC10" i="3"/>
  <c r="AC9" i="3"/>
  <c r="AD44" i="3"/>
  <c r="AD46" i="3" s="1"/>
  <c r="AE44" i="3"/>
  <c r="AE46" i="3" s="1"/>
  <c r="AF44" i="3"/>
  <c r="AF46" i="3" s="1"/>
  <c r="AG44" i="3"/>
  <c r="AG46" i="3" s="1"/>
  <c r="AD38" i="3"/>
  <c r="AE38" i="3"/>
  <c r="AF38" i="3"/>
  <c r="AG38" i="3"/>
  <c r="AD15" i="3"/>
  <c r="AC29" i="2"/>
  <c r="AC28" i="2"/>
  <c r="AC27" i="2"/>
  <c r="AC23" i="2"/>
  <c r="AC21" i="2"/>
  <c r="AC20" i="2"/>
  <c r="AC19" i="2"/>
  <c r="AC18" i="2"/>
  <c r="AE17" i="2"/>
  <c r="AG15" i="2"/>
  <c r="AG14" i="2"/>
  <c r="AC15" i="2"/>
  <c r="AC13" i="2"/>
  <c r="AC14" i="2"/>
  <c r="AC12" i="2"/>
  <c r="AC11" i="2"/>
  <c r="AD10" i="2"/>
  <c r="AE10" i="2"/>
  <c r="AG52" i="2"/>
  <c r="AG45" i="2"/>
  <c r="R37" i="1"/>
  <c r="S37" i="1"/>
  <c r="T37" i="1"/>
  <c r="R13" i="1"/>
  <c r="S13" i="1"/>
  <c r="T13" i="1"/>
  <c r="R9" i="1"/>
  <c r="S9" i="1"/>
  <c r="T9" i="1"/>
  <c r="U9" i="1"/>
  <c r="AD51" i="6"/>
  <c r="AE51" i="6"/>
  <c r="AF51" i="6"/>
  <c r="AG51" i="6"/>
  <c r="AD46" i="6"/>
  <c r="AE46" i="6"/>
  <c r="AF46" i="6"/>
  <c r="AG46" i="6"/>
  <c r="AG29" i="6"/>
  <c r="AG24" i="6"/>
  <c r="AG20" i="6"/>
  <c r="AG9" i="6"/>
  <c r="P9" i="1"/>
  <c r="AE25" i="7"/>
  <c r="AE11" i="7"/>
  <c r="U25" i="7"/>
  <c r="AD25" i="7"/>
  <c r="AF33" i="5"/>
  <c r="AF37" i="5" s="1"/>
  <c r="AG28" i="5" s="1"/>
  <c r="T37" i="4"/>
  <c r="T31" i="4"/>
  <c r="AF52" i="2"/>
  <c r="T12" i="4"/>
  <c r="AF15" i="3"/>
  <c r="AF14" i="5"/>
  <c r="AF18" i="5" s="1"/>
  <c r="T18" i="4"/>
  <c r="AF45" i="2"/>
  <c r="AF39" i="6"/>
  <c r="AF20" i="6"/>
  <c r="AF29" i="6"/>
  <c r="AF24" i="6"/>
  <c r="AF9" i="6"/>
  <c r="U29" i="6"/>
  <c r="AE17" i="3"/>
  <c r="AE21" i="3" s="1"/>
  <c r="O10" i="1"/>
  <c r="O9" i="1" s="1"/>
  <c r="AE16" i="5"/>
  <c r="AE13" i="5"/>
  <c r="AE33" i="5"/>
  <c r="AE37" i="5" s="1"/>
  <c r="AE12" i="5"/>
  <c r="AE11" i="5"/>
  <c r="AD10" i="7"/>
  <c r="AD9" i="7"/>
  <c r="S16" i="4"/>
  <c r="S15" i="4"/>
  <c r="S14" i="4"/>
  <c r="S10" i="4"/>
  <c r="S9" i="4"/>
  <c r="S37" i="4"/>
  <c r="S31" i="4"/>
  <c r="AE13" i="3"/>
  <c r="AE11" i="3"/>
  <c r="AE10" i="3"/>
  <c r="AE52" i="2"/>
  <c r="AE45" i="2"/>
  <c r="AE39" i="6"/>
  <c r="AE29" i="6"/>
  <c r="AE24" i="6"/>
  <c r="AE20" i="6"/>
  <c r="AE9" i="6"/>
  <c r="AD14" i="5"/>
  <c r="AD33" i="5"/>
  <c r="AD37" i="5" s="1"/>
  <c r="AC25" i="7"/>
  <c r="R18" i="4"/>
  <c r="R12" i="4"/>
  <c r="R37" i="4"/>
  <c r="R31" i="4"/>
  <c r="AD52" i="2"/>
  <c r="AD45" i="2"/>
  <c r="Z9" i="6"/>
  <c r="AD39" i="6"/>
  <c r="AD29" i="6"/>
  <c r="AD24" i="6"/>
  <c r="AD20" i="6"/>
  <c r="AD9" i="6"/>
  <c r="Q37" i="1"/>
  <c r="P37" i="1"/>
  <c r="O37" i="1"/>
  <c r="N37" i="1"/>
  <c r="M37" i="1"/>
  <c r="L37" i="1"/>
  <c r="K37" i="1"/>
  <c r="J37" i="1"/>
  <c r="I37" i="1"/>
  <c r="Q13" i="1"/>
  <c r="P13" i="1"/>
  <c r="O13" i="1"/>
  <c r="N13" i="1"/>
  <c r="M13" i="1"/>
  <c r="L13" i="1"/>
  <c r="K13" i="1"/>
  <c r="J13" i="1"/>
  <c r="I13" i="1"/>
  <c r="Q9" i="1"/>
  <c r="N9" i="1"/>
  <c r="M9" i="1"/>
  <c r="L9" i="1"/>
  <c r="K9" i="1"/>
  <c r="J9" i="1"/>
  <c r="I9" i="1"/>
  <c r="AC46" i="6"/>
  <c r="AC16" i="5"/>
  <c r="AC13" i="5"/>
  <c r="AC12" i="5"/>
  <c r="AC11" i="5"/>
  <c r="AC33" i="5"/>
  <c r="AC37" i="5" s="1"/>
  <c r="AB9" i="7"/>
  <c r="AB10" i="7"/>
  <c r="AB25" i="7"/>
  <c r="AB11" i="7" s="1"/>
  <c r="Q16" i="4"/>
  <c r="Q15" i="4"/>
  <c r="Q14" i="4"/>
  <c r="Q10" i="4"/>
  <c r="Q9" i="4"/>
  <c r="Q31" i="4"/>
  <c r="Q37" i="4"/>
  <c r="AC44" i="3"/>
  <c r="AC46" i="3" s="1"/>
  <c r="AC38" i="3"/>
  <c r="AC52" i="2"/>
  <c r="AC45" i="2"/>
  <c r="AC51" i="6"/>
  <c r="AC39" i="6"/>
  <c r="AC29" i="6"/>
  <c r="AC24" i="6"/>
  <c r="AC20" i="6"/>
  <c r="AC9" i="6"/>
  <c r="AA10" i="7"/>
  <c r="AA9" i="7"/>
  <c r="AA27" i="7"/>
  <c r="AB16" i="5"/>
  <c r="AB13" i="5"/>
  <c r="AB12" i="5"/>
  <c r="AB11" i="5"/>
  <c r="AB33" i="5"/>
  <c r="AA29" i="6"/>
  <c r="P16" i="4"/>
  <c r="P15" i="4"/>
  <c r="P14" i="4"/>
  <c r="P10" i="4"/>
  <c r="P9" i="4"/>
  <c r="AB19" i="3"/>
  <c r="AB12" i="3"/>
  <c r="AB11" i="3"/>
  <c r="AB10" i="3"/>
  <c r="AB9" i="3"/>
  <c r="AB29" i="2"/>
  <c r="AB28" i="2"/>
  <c r="AB27" i="2"/>
  <c r="P31" i="4"/>
  <c r="AB38" i="3"/>
  <c r="AA51" i="6"/>
  <c r="Z29" i="6"/>
  <c r="P37" i="4"/>
  <c r="AB45" i="2"/>
  <c r="AB46" i="6"/>
  <c r="AB51" i="6"/>
  <c r="AB39" i="6"/>
  <c r="AB29" i="6"/>
  <c r="AB24" i="6"/>
  <c r="AB20" i="6"/>
  <c r="AB9" i="6"/>
  <c r="M18" i="4"/>
  <c r="M12" i="4"/>
  <c r="M37" i="4"/>
  <c r="M31" i="4"/>
  <c r="AA14" i="5"/>
  <c r="Z11" i="7"/>
  <c r="Z25" i="7"/>
  <c r="O37" i="4"/>
  <c r="O31" i="4"/>
  <c r="O18" i="4"/>
  <c r="O12" i="4"/>
  <c r="AA38" i="3"/>
  <c r="AA15" i="3"/>
  <c r="AA52" i="2"/>
  <c r="AA45" i="2"/>
  <c r="AA17" i="2"/>
  <c r="AA10" i="2"/>
  <c r="AA46" i="6"/>
  <c r="AA39" i="6"/>
  <c r="AA9" i="6"/>
  <c r="AA24" i="6"/>
  <c r="AA20" i="6"/>
  <c r="AA17" i="6" s="1"/>
  <c r="Y25" i="7"/>
  <c r="Y11" i="7"/>
  <c r="Z14" i="5"/>
  <c r="Z38" i="3"/>
  <c r="Z15" i="3"/>
  <c r="Z52" i="2"/>
  <c r="Z45" i="2"/>
  <c r="Z17" i="2"/>
  <c r="Z10" i="2"/>
  <c r="Z51" i="6"/>
  <c r="Z46" i="6"/>
  <c r="Y46" i="6"/>
  <c r="X46" i="6"/>
  <c r="Z39" i="6"/>
  <c r="Z24" i="6"/>
  <c r="Z20" i="6"/>
  <c r="X25" i="7"/>
  <c r="X11" i="7"/>
  <c r="Q37" i="5"/>
  <c r="R37" i="5"/>
  <c r="S33" i="5"/>
  <c r="S37" i="5" s="1"/>
  <c r="T33" i="5"/>
  <c r="T37" i="5" s="1"/>
  <c r="U33" i="5"/>
  <c r="U37" i="5" s="1"/>
  <c r="V33" i="5"/>
  <c r="V37" i="5" s="1"/>
  <c r="W33" i="5"/>
  <c r="W37" i="5" s="1"/>
  <c r="X33" i="5"/>
  <c r="X37" i="5" s="1"/>
  <c r="Y28" i="5" s="1"/>
  <c r="Y33" i="5"/>
  <c r="R14" i="5"/>
  <c r="S14" i="5"/>
  <c r="T14" i="5"/>
  <c r="U14" i="5"/>
  <c r="V14" i="5"/>
  <c r="W14" i="5"/>
  <c r="X14" i="5"/>
  <c r="Y14" i="5"/>
  <c r="Y38" i="3"/>
  <c r="Y15" i="3"/>
  <c r="Q52" i="2"/>
  <c r="R52" i="2"/>
  <c r="S52" i="2"/>
  <c r="T52" i="2"/>
  <c r="U52" i="2"/>
  <c r="V52" i="2"/>
  <c r="W52" i="2"/>
  <c r="X52" i="2"/>
  <c r="Q45" i="2"/>
  <c r="R45" i="2"/>
  <c r="S45" i="2"/>
  <c r="T45" i="2"/>
  <c r="U45" i="2"/>
  <c r="V45" i="2"/>
  <c r="W45" i="2"/>
  <c r="X45" i="2"/>
  <c r="Y52" i="2"/>
  <c r="Y45" i="2"/>
  <c r="I17" i="2"/>
  <c r="J17" i="2"/>
  <c r="K17" i="2"/>
  <c r="L17" i="2"/>
  <c r="M17" i="2"/>
  <c r="N17" i="2"/>
  <c r="O17" i="2"/>
  <c r="P17" i="2"/>
  <c r="Q17" i="2"/>
  <c r="R17" i="2"/>
  <c r="S17" i="2"/>
  <c r="T17" i="2"/>
  <c r="U17" i="2"/>
  <c r="V17" i="2"/>
  <c r="W17" i="2"/>
  <c r="I10" i="2"/>
  <c r="J10" i="2"/>
  <c r="K10" i="2"/>
  <c r="L10" i="2"/>
  <c r="M10" i="2"/>
  <c r="N10" i="2"/>
  <c r="O10" i="2"/>
  <c r="P10" i="2"/>
  <c r="Q10" i="2"/>
  <c r="R10" i="2"/>
  <c r="S10" i="2"/>
  <c r="T10" i="2"/>
  <c r="U10" i="2"/>
  <c r="V10" i="2"/>
  <c r="W10" i="2"/>
  <c r="X10" i="2"/>
  <c r="X17" i="2"/>
  <c r="Y17" i="2"/>
  <c r="Y10" i="2"/>
  <c r="J24" i="6"/>
  <c r="K24" i="6"/>
  <c r="L24" i="6"/>
  <c r="M24" i="6"/>
  <c r="N24" i="6"/>
  <c r="O24" i="6"/>
  <c r="P24" i="6"/>
  <c r="Q24" i="6"/>
  <c r="R24" i="6"/>
  <c r="S24" i="6"/>
  <c r="T24" i="6"/>
  <c r="U24" i="6"/>
  <c r="V24" i="6"/>
  <c r="W24" i="6"/>
  <c r="X24" i="6"/>
  <c r="Y24" i="6"/>
  <c r="I24" i="6"/>
  <c r="J20" i="6"/>
  <c r="K20" i="6"/>
  <c r="L20" i="6"/>
  <c r="M20" i="6"/>
  <c r="N20" i="6"/>
  <c r="O20" i="6"/>
  <c r="P20" i="6"/>
  <c r="Q20" i="6"/>
  <c r="R20" i="6"/>
  <c r="S20" i="6"/>
  <c r="T20" i="6"/>
  <c r="U20" i="6"/>
  <c r="V20" i="6"/>
  <c r="W20" i="6"/>
  <c r="X20" i="6"/>
  <c r="Y20" i="6"/>
  <c r="I20" i="6"/>
  <c r="N12" i="4"/>
  <c r="N18" i="4"/>
  <c r="N31" i="4"/>
  <c r="N37" i="4"/>
  <c r="Y39" i="6"/>
  <c r="Y9" i="6"/>
  <c r="Y29" i="6"/>
  <c r="W11" i="7"/>
  <c r="W25" i="7"/>
  <c r="X9" i="6"/>
  <c r="X29" i="6"/>
  <c r="X39" i="6"/>
  <c r="K12" i="4"/>
  <c r="L12" i="4"/>
  <c r="K18" i="4"/>
  <c r="L37" i="4"/>
  <c r="L18" i="4"/>
  <c r="J18" i="4"/>
  <c r="I18" i="4"/>
  <c r="J12" i="4"/>
  <c r="I12" i="4"/>
  <c r="J37" i="4"/>
  <c r="K37" i="4"/>
  <c r="I37" i="4"/>
  <c r="J31" i="4"/>
  <c r="K31" i="4"/>
  <c r="I31" i="4"/>
  <c r="Q11" i="7"/>
  <c r="R11" i="7"/>
  <c r="S11" i="7"/>
  <c r="T11" i="7"/>
  <c r="U11" i="7"/>
  <c r="V11" i="7"/>
  <c r="Q25" i="7"/>
  <c r="Q27" i="7" s="1"/>
  <c r="R25" i="7"/>
  <c r="R27" i="7" s="1"/>
  <c r="S25" i="7"/>
  <c r="T25" i="7"/>
  <c r="V25" i="7"/>
  <c r="P25" i="7"/>
  <c r="P27" i="7" s="1"/>
  <c r="I11" i="7"/>
  <c r="I13" i="7" s="1"/>
  <c r="J11" i="7"/>
  <c r="J13" i="7" s="1"/>
  <c r="K11" i="7"/>
  <c r="L11" i="7"/>
  <c r="M11" i="7"/>
  <c r="N11" i="7"/>
  <c r="O11" i="7"/>
  <c r="P11" i="7"/>
  <c r="H11" i="7"/>
  <c r="H13" i="7" s="1"/>
  <c r="J29" i="6"/>
  <c r="K29" i="6"/>
  <c r="L29" i="6"/>
  <c r="M29" i="6"/>
  <c r="N29" i="6"/>
  <c r="O29" i="6"/>
  <c r="P29" i="6"/>
  <c r="Q29" i="6"/>
  <c r="R29" i="6"/>
  <c r="S29" i="6"/>
  <c r="T29" i="6"/>
  <c r="V29" i="6"/>
  <c r="W29" i="6"/>
  <c r="I29" i="6"/>
  <c r="J9" i="6"/>
  <c r="K9" i="6"/>
  <c r="L9" i="6"/>
  <c r="M9" i="6"/>
  <c r="N9" i="6"/>
  <c r="O9" i="6"/>
  <c r="P9" i="6"/>
  <c r="Q9" i="6"/>
  <c r="R9" i="6"/>
  <c r="S9" i="6"/>
  <c r="T9" i="6"/>
  <c r="U9" i="6"/>
  <c r="V9" i="6"/>
  <c r="W9" i="6"/>
  <c r="I9" i="6"/>
  <c r="R39" i="6"/>
  <c r="S39" i="6"/>
  <c r="T39" i="6"/>
  <c r="U39" i="6"/>
  <c r="V39" i="6"/>
  <c r="W39" i="6"/>
  <c r="Q39" i="6"/>
  <c r="L31" i="4"/>
  <c r="AL28" i="5" l="1"/>
  <c r="AK18" i="5"/>
  <c r="AE17" i="6"/>
  <c r="Y21" i="1"/>
  <c r="AR47" i="3"/>
  <c r="C47" i="3" s="1"/>
  <c r="E47" i="3" s="1"/>
  <c r="C44" i="3"/>
  <c r="E44" i="3" s="1"/>
  <c r="AQ27" i="7"/>
  <c r="B25" i="7"/>
  <c r="AQ13" i="7"/>
  <c r="B13" i="7" s="1"/>
  <c r="B11" i="7"/>
  <c r="V17" i="6"/>
  <c r="AC17" i="6"/>
  <c r="G34" i="1"/>
  <c r="C33" i="1"/>
  <c r="D33" i="1"/>
  <c r="AJ21" i="3"/>
  <c r="G30" i="2"/>
  <c r="C29" i="2"/>
  <c r="E29" i="2" s="1"/>
  <c r="AP17" i="6"/>
  <c r="Z25" i="2"/>
  <c r="Z31" i="2" s="1"/>
  <c r="Z33" i="2" s="1"/>
  <c r="AL14" i="5"/>
  <c r="U18" i="5"/>
  <c r="V9" i="5" s="1"/>
  <c r="V18" i="5" s="1"/>
  <c r="W9" i="5" s="1"/>
  <c r="W18" i="5" s="1"/>
  <c r="X9" i="5" s="1"/>
  <c r="X18" i="5" s="1"/>
  <c r="Y9" i="5" s="1"/>
  <c r="Y18" i="5" s="1"/>
  <c r="Z9" i="5" s="1"/>
  <c r="Z18" i="5" s="1"/>
  <c r="AA9" i="5" s="1"/>
  <c r="AA18" i="5" s="1"/>
  <c r="AB9" i="5" s="1"/>
  <c r="AJ17" i="6"/>
  <c r="V25" i="2"/>
  <c r="V31" i="2" s="1"/>
  <c r="V33" i="2" s="1"/>
  <c r="AD17" i="2"/>
  <c r="AD25" i="2" s="1"/>
  <c r="AD31" i="2" s="1"/>
  <c r="AD33" i="2" s="1"/>
  <c r="U21" i="1"/>
  <c r="U29" i="1" s="1"/>
  <c r="X18" i="4"/>
  <c r="S18" i="4"/>
  <c r="C15" i="3"/>
  <c r="E15" i="3" s="1"/>
  <c r="AB15" i="3"/>
  <c r="P25" i="2"/>
  <c r="P31" i="2" s="1"/>
  <c r="P33" i="2" s="1"/>
  <c r="Z12" i="4"/>
  <c r="J25" i="2"/>
  <c r="J31" i="2" s="1"/>
  <c r="J33" i="2" s="1"/>
  <c r="U12" i="4"/>
  <c r="K17" i="6"/>
  <c r="AA18" i="4"/>
  <c r="O25" i="2"/>
  <c r="O31" i="2" s="1"/>
  <c r="O33" i="2" s="1"/>
  <c r="AF12" i="4"/>
  <c r="C12" i="4" s="1"/>
  <c r="E12" i="4" s="1"/>
  <c r="AI17" i="6"/>
  <c r="U25" i="2"/>
  <c r="U31" i="2" s="1"/>
  <c r="U33" i="2" s="1"/>
  <c r="Z59" i="2"/>
  <c r="Z65" i="2" s="1"/>
  <c r="Z67" i="2" s="1"/>
  <c r="AJ15" i="3"/>
  <c r="AF59" i="2"/>
  <c r="AF65" i="2" s="1"/>
  <c r="AF67" i="2" s="1"/>
  <c r="AC10" i="2"/>
  <c r="Q21" i="1"/>
  <c r="Q27" i="1" s="1"/>
  <c r="Q39" i="1" s="1"/>
  <c r="Q43" i="1" s="1"/>
  <c r="Y12" i="4"/>
  <c r="AK59" i="2"/>
  <c r="AK65" i="2" s="1"/>
  <c r="AK67" i="2" s="1"/>
  <c r="AK33" i="2" s="1"/>
  <c r="L17" i="6"/>
  <c r="I25" i="2"/>
  <c r="I31" i="2" s="1"/>
  <c r="I33" i="2" s="1"/>
  <c r="P18" i="4"/>
  <c r="AH10" i="2"/>
  <c r="P12" i="4"/>
  <c r="AH15" i="3"/>
  <c r="Q17" i="6"/>
  <c r="N17" i="6"/>
  <c r="U18" i="4"/>
  <c r="V12" i="4"/>
  <c r="AF17" i="2"/>
  <c r="I17" i="6"/>
  <c r="S12" i="4"/>
  <c r="AL15" i="3"/>
  <c r="AB18" i="4"/>
  <c r="W17" i="6"/>
  <c r="M25" i="2"/>
  <c r="M31" i="2" s="1"/>
  <c r="M33" i="2" s="1"/>
  <c r="S59" i="2"/>
  <c r="S65" i="2" s="1"/>
  <c r="S67" i="2" s="1"/>
  <c r="AF21" i="1"/>
  <c r="X17" i="6"/>
  <c r="R59" i="2"/>
  <c r="R65" i="2" s="1"/>
  <c r="R67" i="2" s="1"/>
  <c r="P21" i="1"/>
  <c r="P27" i="1" s="1"/>
  <c r="P39" i="1" s="1"/>
  <c r="P43" i="1" s="1"/>
  <c r="R17" i="6"/>
  <c r="Q59" i="2"/>
  <c r="Q65" i="2" s="1"/>
  <c r="Q67" i="2" s="1"/>
  <c r="AR59" i="2"/>
  <c r="AR65" i="2" s="1"/>
  <c r="AR67" i="2" s="1"/>
  <c r="AL59" i="2"/>
  <c r="AL65" i="2" s="1"/>
  <c r="AL67" i="2" s="1"/>
  <c r="AF17" i="6"/>
  <c r="AE25" i="2"/>
  <c r="AE31" i="2" s="1"/>
  <c r="AE33" i="2" s="1"/>
  <c r="AG10" i="2"/>
  <c r="X12" i="4"/>
  <c r="P17" i="6"/>
  <c r="Z17" i="6"/>
  <c r="AM15" i="3"/>
  <c r="AG17" i="2"/>
  <c r="W18" i="4"/>
  <c r="J17" i="6"/>
  <c r="O17" i="6"/>
  <c r="W59" i="2"/>
  <c r="W65" i="2" s="1"/>
  <c r="W67" i="2" s="1"/>
  <c r="S21" i="1"/>
  <c r="S27" i="1" s="1"/>
  <c r="S39" i="1" s="1"/>
  <c r="S43" i="1" s="1"/>
  <c r="AB59" i="2"/>
  <c r="AB65" i="2" s="1"/>
  <c r="AB67" i="2" s="1"/>
  <c r="AL47" i="3"/>
  <c r="AL11" i="7"/>
  <c r="AM25" i="2"/>
  <c r="AM31" i="2" s="1"/>
  <c r="L25" i="2"/>
  <c r="L31" i="2" s="1"/>
  <c r="L33" i="2" s="1"/>
  <c r="AA25" i="2"/>
  <c r="AA31" i="2" s="1"/>
  <c r="AA33" i="2" s="1"/>
  <c r="AB12" i="4"/>
  <c r="K25" i="2"/>
  <c r="K31" i="2" s="1"/>
  <c r="K33" i="2" s="1"/>
  <c r="X59" i="2"/>
  <c r="X65" i="2" s="1"/>
  <c r="X67" i="2" s="1"/>
  <c r="AI59" i="2"/>
  <c r="AI65" i="2" s="1"/>
  <c r="AK17" i="6"/>
  <c r="AH17" i="2"/>
  <c r="W25" i="2"/>
  <c r="W31" i="2" s="1"/>
  <c r="W33" i="2" s="1"/>
  <c r="AP59" i="2"/>
  <c r="AP65" i="2" s="1"/>
  <c r="AP67" i="2" s="1"/>
  <c r="U17" i="6"/>
  <c r="Q12" i="4"/>
  <c r="AE59" i="2"/>
  <c r="AE65" i="2" s="1"/>
  <c r="AE67" i="2" s="1"/>
  <c r="AK15" i="3"/>
  <c r="Q18" i="4"/>
  <c r="AG17" i="6"/>
  <c r="AH17" i="6"/>
  <c r="AN15" i="3"/>
  <c r="AO17" i="6"/>
  <c r="AF10" i="2"/>
  <c r="X25" i="2"/>
  <c r="X31" i="2" s="1"/>
  <c r="X33" i="2" s="1"/>
  <c r="T25" i="2"/>
  <c r="T31" i="2" s="1"/>
  <c r="T33" i="2" s="1"/>
  <c r="AG59" i="2"/>
  <c r="AG65" i="2" s="1"/>
  <c r="AG67" i="2" s="1"/>
  <c r="AG33" i="2" s="1"/>
  <c r="AH11" i="7"/>
  <c r="S25" i="2"/>
  <c r="S31" i="2" s="1"/>
  <c r="S33" i="2" s="1"/>
  <c r="AA11" i="7"/>
  <c r="V18" i="4"/>
  <c r="AA21" i="1"/>
  <c r="AA27" i="1" s="1"/>
  <c r="AA39" i="1" s="1"/>
  <c r="AA43" i="1" s="1"/>
  <c r="AD59" i="2"/>
  <c r="AD65" i="2" s="1"/>
  <c r="AD67" i="2" s="1"/>
  <c r="AF18" i="4"/>
  <c r="C18" i="4" s="1"/>
  <c r="E18" i="4" s="1"/>
  <c r="AE15" i="3"/>
  <c r="AK21" i="3"/>
  <c r="AL25" i="2"/>
  <c r="AL31" i="2" s="1"/>
  <c r="AB10" i="2"/>
  <c r="AI17" i="2"/>
  <c r="T17" i="6"/>
  <c r="AB17" i="6"/>
  <c r="AC59" i="2"/>
  <c r="AC65" i="2" s="1"/>
  <c r="AC67" i="2" s="1"/>
  <c r="AB17" i="2"/>
  <c r="AB25" i="2" s="1"/>
  <c r="AB31" i="2" s="1"/>
  <c r="AB33" i="2" s="1"/>
  <c r="AJ11" i="7"/>
  <c r="AD21" i="1"/>
  <c r="AD27" i="1" s="1"/>
  <c r="AD39" i="1" s="1"/>
  <c r="AD43" i="1" s="1"/>
  <c r="AD11" i="7"/>
  <c r="D9" i="7"/>
  <c r="AA12" i="4"/>
  <c r="W12" i="4"/>
  <c r="Z18" i="4"/>
  <c r="Y18" i="4"/>
  <c r="E37" i="4"/>
  <c r="AO15" i="3"/>
  <c r="AI15" i="3"/>
  <c r="AL21" i="3"/>
  <c r="AC15" i="3"/>
  <c r="AR21" i="3"/>
  <c r="C21" i="3" s="1"/>
  <c r="E21" i="3" s="1"/>
  <c r="AC17" i="2"/>
  <c r="AA59" i="2"/>
  <c r="AA65" i="2" s="1"/>
  <c r="AA67" i="2" s="1"/>
  <c r="AK17" i="2"/>
  <c r="AM59" i="2"/>
  <c r="AM65" i="2" s="1"/>
  <c r="AM67" i="2" s="1"/>
  <c r="AM33" i="2" s="1"/>
  <c r="AN12" i="7" s="1"/>
  <c r="AJ10" i="2"/>
  <c r="V59" i="2"/>
  <c r="V65" i="2" s="1"/>
  <c r="V67" i="2" s="1"/>
  <c r="AK10" i="2"/>
  <c r="E53" i="2"/>
  <c r="Y25" i="2"/>
  <c r="Y31" i="2" s="1"/>
  <c r="Y33" i="2" s="1"/>
  <c r="R25" i="2"/>
  <c r="R31" i="2" s="1"/>
  <c r="R33" i="2" s="1"/>
  <c r="Q25" i="2"/>
  <c r="Q31" i="2" s="1"/>
  <c r="Q33" i="2" s="1"/>
  <c r="AJ17" i="2"/>
  <c r="U59" i="2"/>
  <c r="U65" i="2" s="1"/>
  <c r="U67" i="2" s="1"/>
  <c r="N25" i="2"/>
  <c r="N31" i="2" s="1"/>
  <c r="N33" i="2" s="1"/>
  <c r="T59" i="2"/>
  <c r="T65" i="2" s="1"/>
  <c r="T67" i="2" s="1"/>
  <c r="AH59" i="2"/>
  <c r="AH65" i="2" s="1"/>
  <c r="AO59" i="2"/>
  <c r="AO65" i="2" s="1"/>
  <c r="AO67" i="2" s="1"/>
  <c r="Y59" i="2"/>
  <c r="Y65" i="2" s="1"/>
  <c r="Y67" i="2" s="1"/>
  <c r="AQ59" i="2"/>
  <c r="AQ65" i="2" s="1"/>
  <c r="AQ67" i="2" s="1"/>
  <c r="AI10" i="2"/>
  <c r="AN59" i="2"/>
  <c r="AN65" i="2" s="1"/>
  <c r="AJ59" i="2"/>
  <c r="AJ65" i="2" s="1"/>
  <c r="AJ67" i="2" s="1"/>
  <c r="E9" i="1"/>
  <c r="O21" i="1"/>
  <c r="O29" i="1" s="1"/>
  <c r="AB21" i="1"/>
  <c r="AB27" i="1" s="1"/>
  <c r="AB39" i="1" s="1"/>
  <c r="E44" i="6"/>
  <c r="Y17" i="6"/>
  <c r="S17" i="6"/>
  <c r="M17" i="6"/>
  <c r="AD17" i="6"/>
  <c r="AM17" i="6"/>
  <c r="AN17" i="6"/>
  <c r="AR17" i="6"/>
  <c r="C17" i="6" s="1"/>
  <c r="AB40" i="3"/>
  <c r="AB17" i="3" s="1"/>
  <c r="AB21" i="3" s="1"/>
  <c r="AR46" i="3"/>
  <c r="E11" i="2"/>
  <c r="E28" i="2"/>
  <c r="E13" i="2"/>
  <c r="E18" i="2"/>
  <c r="E19" i="2"/>
  <c r="E20" i="2"/>
  <c r="E21" i="2"/>
  <c r="E22" i="2"/>
  <c r="E27" i="2"/>
  <c r="E28" i="4"/>
  <c r="E29" i="4"/>
  <c r="E31" i="4"/>
  <c r="E48" i="6"/>
  <c r="E41" i="6"/>
  <c r="AN32" i="5"/>
  <c r="AN13" i="5" s="1"/>
  <c r="AI14" i="5"/>
  <c r="AB14" i="5"/>
  <c r="AR16" i="5"/>
  <c r="D23" i="7"/>
  <c r="E62" i="2"/>
  <c r="D24" i="7"/>
  <c r="AI25" i="7"/>
  <c r="AI27" i="7" s="1"/>
  <c r="AM11" i="7"/>
  <c r="AM13" i="7" s="1"/>
  <c r="AG11" i="7"/>
  <c r="AN11" i="7"/>
  <c r="AN25" i="7"/>
  <c r="AI11" i="7"/>
  <c r="AI13" i="7" s="1"/>
  <c r="AF11" i="7"/>
  <c r="E46" i="2"/>
  <c r="E38" i="3"/>
  <c r="AR12" i="5"/>
  <c r="AH14" i="5"/>
  <c r="AR33" i="5"/>
  <c r="AR37" i="5" s="1"/>
  <c r="AS28" i="5" s="1"/>
  <c r="C28" i="5" s="1"/>
  <c r="AK14" i="5"/>
  <c r="AJ14" i="5"/>
  <c r="AJ18" i="5" s="1"/>
  <c r="AK9" i="5" s="1"/>
  <c r="AG14" i="5"/>
  <c r="AE14" i="5"/>
  <c r="AE18" i="5" s="1"/>
  <c r="AC14" i="5"/>
  <c r="AM14" i="5"/>
  <c r="Y37" i="5"/>
  <c r="Z28" i="5" s="1"/>
  <c r="Z37" i="5" s="1"/>
  <c r="AA28" i="5" s="1"/>
  <c r="AA37" i="5" s="1"/>
  <c r="AB28" i="5" s="1"/>
  <c r="AB37" i="5" s="1"/>
  <c r="AN35" i="5"/>
  <c r="AL37" i="5"/>
  <c r="AM28" i="5" s="1"/>
  <c r="AL9" i="5"/>
  <c r="AG9" i="5"/>
  <c r="AG37" i="5"/>
  <c r="AH28" i="5" s="1"/>
  <c r="AH37" i="5" s="1"/>
  <c r="AI28" i="5" s="1"/>
  <c r="AI37" i="5" s="1"/>
  <c r="AN31" i="5"/>
  <c r="AM33" i="5"/>
  <c r="AN30" i="5"/>
  <c r="E33" i="4"/>
  <c r="E16" i="4"/>
  <c r="E9" i="4"/>
  <c r="E14" i="4"/>
  <c r="E15" i="4"/>
  <c r="E34" i="4"/>
  <c r="E10" i="4"/>
  <c r="E10" i="2"/>
  <c r="E34" i="3"/>
  <c r="E12" i="2"/>
  <c r="E39" i="6"/>
  <c r="E24" i="1"/>
  <c r="E17" i="1"/>
  <c r="E18" i="1"/>
  <c r="E19" i="1"/>
  <c r="E23" i="1"/>
  <c r="AC21" i="1"/>
  <c r="AC29" i="1" s="1"/>
  <c r="K21" i="1"/>
  <c r="K29" i="1" s="1"/>
  <c r="X21" i="1"/>
  <c r="X29" i="1" s="1"/>
  <c r="E13" i="1"/>
  <c r="J21" i="1"/>
  <c r="J27" i="1" s="1"/>
  <c r="J39" i="1" s="1"/>
  <c r="J43" i="1" s="1"/>
  <c r="E10" i="1"/>
  <c r="E25" i="1"/>
  <c r="V21" i="1"/>
  <c r="V29" i="1" s="1"/>
  <c r="R21" i="1"/>
  <c r="R27" i="1" s="1"/>
  <c r="R39" i="1" s="1"/>
  <c r="R43" i="1" s="1"/>
  <c r="L21" i="1"/>
  <c r="L29" i="1" s="1"/>
  <c r="E14" i="1"/>
  <c r="E32" i="1"/>
  <c r="T21" i="1"/>
  <c r="T29" i="1" s="1"/>
  <c r="W21" i="1"/>
  <c r="W29" i="1" s="1"/>
  <c r="M21" i="1"/>
  <c r="M27" i="1" s="1"/>
  <c r="M39" i="1" s="1"/>
  <c r="M43" i="1" s="1"/>
  <c r="E15" i="1"/>
  <c r="I21" i="1"/>
  <c r="I27" i="1" s="1"/>
  <c r="I39" i="1" s="1"/>
  <c r="I43" i="1" s="1"/>
  <c r="N21" i="1"/>
  <c r="N27" i="1" s="1"/>
  <c r="N39" i="1" s="1"/>
  <c r="N43" i="1" s="1"/>
  <c r="E16" i="1"/>
  <c r="Z21" i="1"/>
  <c r="Z27" i="1" s="1"/>
  <c r="Z39" i="1" s="1"/>
  <c r="Z43" i="1" s="1"/>
  <c r="AE29" i="1"/>
  <c r="AE27" i="1"/>
  <c r="AE39" i="1" s="1"/>
  <c r="AE43" i="1" s="1"/>
  <c r="Y29" i="1"/>
  <c r="Y27" i="1"/>
  <c r="Y39" i="1" s="1"/>
  <c r="Y43" i="1" s="1"/>
  <c r="E46" i="6"/>
  <c r="A10" i="6"/>
  <c r="A11" i="6" s="1"/>
  <c r="AC25" i="2" l="1"/>
  <c r="AC31" i="2" s="1"/>
  <c r="AC33" i="2" s="1"/>
  <c r="E33" i="1"/>
  <c r="AR14" i="5"/>
  <c r="AS37" i="5"/>
  <c r="C37" i="5" s="1"/>
  <c r="AR18" i="5"/>
  <c r="D25" i="7"/>
  <c r="G35" i="1"/>
  <c r="C34" i="1"/>
  <c r="D34" i="1"/>
  <c r="C23" i="3"/>
  <c r="E23" i="3" s="1"/>
  <c r="C46" i="3"/>
  <c r="E46" i="3" s="1"/>
  <c r="C59" i="2"/>
  <c r="E59" i="2" s="1"/>
  <c r="AF29" i="1"/>
  <c r="C29" i="1" s="1"/>
  <c r="E29" i="1" s="1"/>
  <c r="C21" i="1"/>
  <c r="E21" i="1" s="1"/>
  <c r="AL18" i="5"/>
  <c r="AM9" i="5" s="1"/>
  <c r="G31" i="2"/>
  <c r="D31" i="2" s="1"/>
  <c r="U27" i="1"/>
  <c r="U39" i="1" s="1"/>
  <c r="U43" i="1" s="1"/>
  <c r="J29" i="1"/>
  <c r="AF25" i="2"/>
  <c r="AF31" i="2" s="1"/>
  <c r="AF33" i="2" s="1"/>
  <c r="AG12" i="7" s="1"/>
  <c r="AG25" i="2"/>
  <c r="AG31" i="2" s="1"/>
  <c r="U12" i="7"/>
  <c r="U13" i="7" s="1"/>
  <c r="AF27" i="1"/>
  <c r="Z26" i="7"/>
  <c r="Z27" i="7" s="1"/>
  <c r="Q29" i="1"/>
  <c r="P29" i="1"/>
  <c r="V12" i="7"/>
  <c r="V13" i="7" s="1"/>
  <c r="W12" i="7"/>
  <c r="W13" i="7" s="1"/>
  <c r="N12" i="7"/>
  <c r="N13" i="7" s="1"/>
  <c r="AK26" i="7"/>
  <c r="AK12" i="7" s="1"/>
  <c r="AK13" i="7" s="1"/>
  <c r="M12" i="7"/>
  <c r="M13" i="7" s="1"/>
  <c r="AB26" i="7"/>
  <c r="AB27" i="7" s="1"/>
  <c r="AI25" i="2"/>
  <c r="AI31" i="2" s="1"/>
  <c r="S29" i="1"/>
  <c r="AH25" i="2"/>
  <c r="AH31" i="2" s="1"/>
  <c r="AB12" i="7"/>
  <c r="AB13" i="7" s="1"/>
  <c r="X26" i="7"/>
  <c r="X27" i="7" s="1"/>
  <c r="Z12" i="7"/>
  <c r="Z13" i="7" s="1"/>
  <c r="AE26" i="7"/>
  <c r="AE27" i="7" s="1"/>
  <c r="AD29" i="1"/>
  <c r="AG26" i="7"/>
  <c r="AG27" i="7" s="1"/>
  <c r="O12" i="7"/>
  <c r="O13" i="7" s="1"/>
  <c r="O27" i="1"/>
  <c r="O39" i="1" s="1"/>
  <c r="O43" i="1" s="1"/>
  <c r="T26" i="7"/>
  <c r="T27" i="7" s="1"/>
  <c r="V26" i="7"/>
  <c r="V27" i="7" s="1"/>
  <c r="AA12" i="7"/>
  <c r="AA13" i="7" s="1"/>
  <c r="AD26" i="7"/>
  <c r="AD27" i="7" s="1"/>
  <c r="AJ25" i="2"/>
  <c r="AJ31" i="2" s="1"/>
  <c r="AJ33" i="2" s="1"/>
  <c r="AJ12" i="7" s="1"/>
  <c r="AJ13" i="7" s="1"/>
  <c r="K27" i="1"/>
  <c r="K39" i="1" s="1"/>
  <c r="K43" i="1" s="1"/>
  <c r="S26" i="7"/>
  <c r="S27" i="7" s="1"/>
  <c r="AC26" i="7"/>
  <c r="AC27" i="7" s="1"/>
  <c r="L12" i="7"/>
  <c r="L13" i="7" s="1"/>
  <c r="Y26" i="7"/>
  <c r="Y27" i="7" s="1"/>
  <c r="Q12" i="7"/>
  <c r="Q13" i="7" s="1"/>
  <c r="U26" i="7"/>
  <c r="U27" i="7" s="1"/>
  <c r="K12" i="7"/>
  <c r="K13" i="7" s="1"/>
  <c r="AH26" i="7"/>
  <c r="AH27" i="7" s="1"/>
  <c r="AB18" i="5"/>
  <c r="AC9" i="5" s="1"/>
  <c r="AC18" i="5" s="1"/>
  <c r="AD9" i="5" s="1"/>
  <c r="AD18" i="5" s="1"/>
  <c r="AT28" i="5"/>
  <c r="AG18" i="5"/>
  <c r="AH9" i="5" s="1"/>
  <c r="AH18" i="5" s="1"/>
  <c r="AI9" i="5" s="1"/>
  <c r="AI18" i="5" s="1"/>
  <c r="AN13" i="7"/>
  <c r="AK25" i="2"/>
  <c r="AK31" i="2" s="1"/>
  <c r="X12" i="7"/>
  <c r="X13" i="7" s="1"/>
  <c r="D13" i="7"/>
  <c r="S12" i="7"/>
  <c r="S13" i="7" s="1"/>
  <c r="AB44" i="3"/>
  <c r="AB46" i="3" s="1"/>
  <c r="T12" i="7"/>
  <c r="T13" i="7" s="1"/>
  <c r="W26" i="7"/>
  <c r="W27" i="7" s="1"/>
  <c r="R12" i="7"/>
  <c r="R13" i="7" s="1"/>
  <c r="P12" i="7"/>
  <c r="P13" i="7" s="1"/>
  <c r="Y12" i="7"/>
  <c r="Y13" i="7" s="1"/>
  <c r="AC27" i="1"/>
  <c r="AC39" i="1" s="1"/>
  <c r="AC43" i="1" s="1"/>
  <c r="E9" i="6"/>
  <c r="D11" i="7"/>
  <c r="AN16" i="5"/>
  <c r="AM18" i="5"/>
  <c r="AN9" i="5" s="1"/>
  <c r="E9" i="5" s="1"/>
  <c r="AN11" i="5"/>
  <c r="AN33" i="5"/>
  <c r="AM37" i="5"/>
  <c r="AN28" i="5" s="1"/>
  <c r="AN12" i="5"/>
  <c r="E12" i="5" s="1"/>
  <c r="E31" i="5"/>
  <c r="E17" i="2"/>
  <c r="AD12" i="7"/>
  <c r="AD13" i="7" s="1"/>
  <c r="AN67" i="2"/>
  <c r="AC12" i="7"/>
  <c r="AC13" i="7" s="1"/>
  <c r="M29" i="1"/>
  <c r="W27" i="1"/>
  <c r="W39" i="1" s="1"/>
  <c r="W43" i="1" s="1"/>
  <c r="T27" i="1"/>
  <c r="T39" i="1" s="1"/>
  <c r="T43" i="1" s="1"/>
  <c r="X27" i="1"/>
  <c r="X39" i="1" s="1"/>
  <c r="X43" i="1" s="1"/>
  <c r="R29" i="1"/>
  <c r="N29" i="1"/>
  <c r="V27" i="1"/>
  <c r="V39" i="1" s="1"/>
  <c r="V43" i="1" s="1"/>
  <c r="L27" i="1"/>
  <c r="L39" i="1" s="1"/>
  <c r="L43" i="1" s="1"/>
  <c r="I29" i="1"/>
  <c r="AB43" i="1"/>
  <c r="A12" i="6"/>
  <c r="AT37" i="5" l="1"/>
  <c r="E34" i="1"/>
  <c r="AF39" i="1"/>
  <c r="C27" i="1"/>
  <c r="C65" i="2"/>
  <c r="AF12" i="7"/>
  <c r="AF13" i="7" s="1"/>
  <c r="AH12" i="7"/>
  <c r="AH13" i="7" s="1"/>
  <c r="G36" i="1"/>
  <c r="G37" i="1" s="1"/>
  <c r="C35" i="1"/>
  <c r="D35" i="1"/>
  <c r="AE12" i="7"/>
  <c r="AE13" i="7" s="1"/>
  <c r="G32" i="2"/>
  <c r="C31" i="2"/>
  <c r="E31" i="2" s="1"/>
  <c r="AK27" i="7"/>
  <c r="E27" i="1"/>
  <c r="E28" i="5"/>
  <c r="AN37" i="5"/>
  <c r="AN14" i="5"/>
  <c r="AN26" i="7"/>
  <c r="AO26" i="7"/>
  <c r="AO27" i="7" s="1"/>
  <c r="E25" i="2"/>
  <c r="AF43" i="1"/>
  <c r="E11" i="6"/>
  <c r="A13" i="6"/>
  <c r="E35" i="1" l="1"/>
  <c r="G38" i="1"/>
  <c r="G39" i="1" s="1"/>
  <c r="D37" i="1"/>
  <c r="C37" i="1"/>
  <c r="C67" i="2"/>
  <c r="E67" i="2" s="1"/>
  <c r="AR26" i="7"/>
  <c r="B26" i="7" s="1"/>
  <c r="D26" i="7" s="1"/>
  <c r="G33" i="2"/>
  <c r="AN27" i="7"/>
  <c r="E14" i="5"/>
  <c r="AN18" i="5"/>
  <c r="E18" i="5" s="1"/>
  <c r="A14" i="6"/>
  <c r="E12" i="6"/>
  <c r="AR12" i="7" l="1"/>
  <c r="B12" i="7" s="1"/>
  <c r="D12" i="7" s="1"/>
  <c r="AR27" i="7"/>
  <c r="B27" i="7" s="1"/>
  <c r="D27" i="7" s="1"/>
  <c r="C33" i="2"/>
  <c r="D33" i="2"/>
  <c r="E37" i="1"/>
  <c r="G40" i="1"/>
  <c r="G41" i="1" s="1"/>
  <c r="D39" i="1"/>
  <c r="C39" i="1"/>
  <c r="E13" i="6"/>
  <c r="A15" i="6"/>
  <c r="E33" i="2" l="1"/>
  <c r="E39" i="1"/>
  <c r="G42" i="1"/>
  <c r="G43" i="1" s="1"/>
  <c r="D41" i="1"/>
  <c r="C41" i="1"/>
  <c r="A16" i="6"/>
  <c r="A17" i="6" s="1"/>
  <c r="E41" i="1" l="1"/>
  <c r="G44" i="1"/>
  <c r="G45" i="1" s="1"/>
  <c r="D43" i="1"/>
  <c r="C43" i="1"/>
  <c r="E15" i="6"/>
  <c r="A18" i="6"/>
  <c r="A19" i="6" s="1"/>
  <c r="E43" i="1" l="1"/>
  <c r="G46" i="1"/>
  <c r="D45" i="1"/>
  <c r="C45" i="1"/>
  <c r="E17" i="6"/>
  <c r="A20" i="6"/>
  <c r="E45" i="1" l="1"/>
  <c r="D46" i="1"/>
  <c r="C46" i="1"/>
  <c r="E19" i="6"/>
  <c r="A21" i="6"/>
  <c r="E46" i="1" l="1"/>
  <c r="E20" i="6"/>
  <c r="A22" i="6"/>
  <c r="E21" i="6" l="1"/>
  <c r="A23" i="6"/>
  <c r="A24" i="6" l="1"/>
  <c r="E22" i="6"/>
  <c r="A25" i="6" l="1"/>
  <c r="E23" i="6"/>
  <c r="A26" i="6" l="1"/>
  <c r="E24" i="6"/>
  <c r="E25" i="6" l="1"/>
  <c r="A27" i="6"/>
  <c r="A28" i="6" l="1"/>
  <c r="A29" i="6" l="1"/>
  <c r="E29" i="6" l="1"/>
  <c r="D10" i="7" l="1"/>
</calcChain>
</file>

<file path=xl/sharedStrings.xml><?xml version="1.0" encoding="utf-8"?>
<sst xmlns="http://schemas.openxmlformats.org/spreadsheetml/2006/main" count="1044" uniqueCount="223">
  <si>
    <t>CHILE</t>
  </si>
  <si>
    <t>Power Plants</t>
  </si>
  <si>
    <t>MW</t>
  </si>
  <si>
    <t>Technology</t>
  </si>
  <si>
    <t>Region</t>
  </si>
  <si>
    <t>Aconcagua Complex</t>
  </si>
  <si>
    <t>Hydro</t>
  </si>
  <si>
    <t>Valparaíso Region</t>
  </si>
  <si>
    <t>Carena</t>
  </si>
  <si>
    <t>El Maule Complex</t>
  </si>
  <si>
    <t>Maule Region</t>
  </si>
  <si>
    <t>Laja</t>
  </si>
  <si>
    <t>Angostura</t>
  </si>
  <si>
    <t>Canutillar</t>
  </si>
  <si>
    <t>Los Lagos Region</t>
  </si>
  <si>
    <t>Total Hydro Installed Capacity</t>
  </si>
  <si>
    <t>Ovejería</t>
  </si>
  <si>
    <t>Photovoltaic</t>
  </si>
  <si>
    <t>Machicura</t>
  </si>
  <si>
    <t>Diego de Almagro</t>
  </si>
  <si>
    <t>Antofagasta Region</t>
  </si>
  <si>
    <t>Total Photovoltaic Installed Capacity</t>
  </si>
  <si>
    <t>Nehuenco 1</t>
  </si>
  <si>
    <t>Gas</t>
  </si>
  <si>
    <t>Metropolitana Region</t>
  </si>
  <si>
    <t>Nehuenco 2</t>
  </si>
  <si>
    <t>Nehuenco 3</t>
  </si>
  <si>
    <t>Gas-Diesel</t>
  </si>
  <si>
    <t>Candelaria</t>
  </si>
  <si>
    <t>Bernardo O´Higgins Liberator Region</t>
  </si>
  <si>
    <t>Los Pinos</t>
  </si>
  <si>
    <t>Diesel</t>
  </si>
  <si>
    <t>Bío Bío Region</t>
  </si>
  <si>
    <t>Santa María</t>
  </si>
  <si>
    <t>Coal</t>
  </si>
  <si>
    <t>Total Thermic Installed Capacity</t>
  </si>
  <si>
    <t>Total Chile Installed Capacity</t>
  </si>
  <si>
    <t>PERÚ</t>
  </si>
  <si>
    <t>Fenix</t>
  </si>
  <si>
    <t>Central Coast Region</t>
  </si>
  <si>
    <t>Total Perú Installed Capacity</t>
  </si>
  <si>
    <t>Total Colbún Installed Capacity</t>
  </si>
  <si>
    <t>Contracted Annual Energy (GWh)</t>
  </si>
  <si>
    <t>Start Date</t>
  </si>
  <si>
    <t>End Date</t>
  </si>
  <si>
    <t>Energy Supply</t>
  </si>
  <si>
    <t>Regulated *</t>
  </si>
  <si>
    <t>Enel Dx. y EEPA</t>
  </si>
  <si>
    <t>Mix</t>
  </si>
  <si>
    <t>Pelumpen</t>
  </si>
  <si>
    <t>Unregulated</t>
  </si>
  <si>
    <t>Codelco I</t>
  </si>
  <si>
    <t>Codelco II</t>
  </si>
  <si>
    <t>1,800-1,000</t>
  </si>
  <si>
    <t>2010-2026</t>
  </si>
  <si>
    <t>2025-2044</t>
  </si>
  <si>
    <t>Mix-Renewable</t>
  </si>
  <si>
    <t>CMPC</t>
  </si>
  <si>
    <t>Walmart</t>
  </si>
  <si>
    <t>Renewable</t>
  </si>
  <si>
    <t>Bio Bio</t>
  </si>
  <si>
    <t>Antofagasta Minerals - Minera Zaldivar</t>
  </si>
  <si>
    <t>BHP</t>
  </si>
  <si>
    <t>CCU</t>
  </si>
  <si>
    <t>Collahuasi</t>
  </si>
  <si>
    <t>230-650</t>
  </si>
  <si>
    <t>2024-2026</t>
  </si>
  <si>
    <t>2025-2035</t>
  </si>
  <si>
    <t>Puerto Angamos</t>
  </si>
  <si>
    <t>Aguas Pacífico</t>
  </si>
  <si>
    <t>Antofagasta Minerals - Minera Centinela</t>
  </si>
  <si>
    <t>Codelco III</t>
  </si>
  <si>
    <t>PHYSICAL SALES</t>
  </si>
  <si>
    <t>1Q23</t>
  </si>
  <si>
    <t>1Q24</t>
  </si>
  <si>
    <t>Var (%)</t>
  </si>
  <si>
    <t>Physical Sales</t>
  </si>
  <si>
    <t>1Q14</t>
  </si>
  <si>
    <t>2Q14</t>
  </si>
  <si>
    <t>3Q14</t>
  </si>
  <si>
    <t>4Q14</t>
  </si>
  <si>
    <t>1Q15</t>
  </si>
  <si>
    <t>2Q15</t>
  </si>
  <si>
    <t>3Q15</t>
  </si>
  <si>
    <t>4Q15</t>
  </si>
  <si>
    <t>1Q16</t>
  </si>
  <si>
    <t>2Q16</t>
  </si>
  <si>
    <t>3Q16</t>
  </si>
  <si>
    <t>4Q16</t>
  </si>
  <si>
    <t>1Q17</t>
  </si>
  <si>
    <t>2Q17</t>
  </si>
  <si>
    <t>3Q17</t>
  </si>
  <si>
    <t>4Q17</t>
  </si>
  <si>
    <t>1Q18</t>
  </si>
  <si>
    <t>2Q18</t>
  </si>
  <si>
    <t>3Q18</t>
  </si>
  <si>
    <t>4Q18</t>
  </si>
  <si>
    <t>1Q19</t>
  </si>
  <si>
    <t>2Q19</t>
  </si>
  <si>
    <t>3Q19</t>
  </si>
  <si>
    <t>4Q19</t>
  </si>
  <si>
    <t>1Q20</t>
  </si>
  <si>
    <t>2Q20</t>
  </si>
  <si>
    <t>3Q20</t>
  </si>
  <si>
    <t>4Q20</t>
  </si>
  <si>
    <t>1Q21</t>
  </si>
  <si>
    <t>2Q21</t>
  </si>
  <si>
    <t>3Q21</t>
  </si>
  <si>
    <t>4Q21</t>
  </si>
  <si>
    <t>1Q22</t>
  </si>
  <si>
    <t>2Q22</t>
  </si>
  <si>
    <t>3Q22</t>
  </si>
  <si>
    <t>4Q22</t>
  </si>
  <si>
    <t>2Q23</t>
  </si>
  <si>
    <t>3Q23</t>
  </si>
  <si>
    <t>4Q23</t>
  </si>
  <si>
    <t>(GWh)</t>
  </si>
  <si>
    <t>Total Physical Sales</t>
  </si>
  <si>
    <t>Regulated Customers</t>
  </si>
  <si>
    <t>Unregulated Customers</t>
  </si>
  <si>
    <t>Sales to the Spot Market</t>
  </si>
  <si>
    <t>Capacity Sales</t>
  </si>
  <si>
    <t>Total Generation</t>
  </si>
  <si>
    <t>Hydraulic</t>
  </si>
  <si>
    <t>Thermal</t>
  </si>
  <si>
    <t xml:space="preserve">    Gas</t>
  </si>
  <si>
    <t xml:space="preserve">    Diesel</t>
  </si>
  <si>
    <t xml:space="preserve">    Coal</t>
  </si>
  <si>
    <t>REVS</t>
  </si>
  <si>
    <t xml:space="preserve">    Wind (*)</t>
  </si>
  <si>
    <t xml:space="preserve">    Solar(**)</t>
  </si>
  <si>
    <t>Spot Market Purchases</t>
  </si>
  <si>
    <t>-</t>
  </si>
  <si>
    <t>Sales - Purchases to the Spot Market</t>
  </si>
  <si>
    <t>Customers Under Contract</t>
  </si>
  <si>
    <t>Thermoelectric - Gas</t>
  </si>
  <si>
    <t xml:space="preserve">(*) Corresponds to the energy purchased from the Punta Palmeras wind farm </t>
  </si>
  <si>
    <t>(**) Corresponds to the energy purchased from the Imelsa solar pv plant</t>
  </si>
  <si>
    <t>CONSOLIDATED</t>
  </si>
  <si>
    <t xml:space="preserve">COMPREHENSIVE INCOME STATEMENT </t>
  </si>
  <si>
    <t xml:space="preserve">2Q19 </t>
  </si>
  <si>
    <t>US$ million</t>
  </si>
  <si>
    <t>Operating Income</t>
  </si>
  <si>
    <t>Sales</t>
  </si>
  <si>
    <t>Other Operating Income</t>
  </si>
  <si>
    <t>Raw Material and Consumables Used</t>
  </si>
  <si>
    <t>Transmission Tolls</t>
  </si>
  <si>
    <t>Energy and Capacity Purchases</t>
  </si>
  <si>
    <t>Gas Consumption</t>
  </si>
  <si>
    <t>Diesel Consumption</t>
  </si>
  <si>
    <t>Coal Consumption</t>
  </si>
  <si>
    <t>Other Operating  Expenses</t>
  </si>
  <si>
    <t>Gross Profit</t>
  </si>
  <si>
    <t>Personnel Expenses</t>
  </si>
  <si>
    <t>Other Expenses, by Nature</t>
  </si>
  <si>
    <t>Depreciation and Amortization Expenses</t>
  </si>
  <si>
    <t>Operating Income (Loss)</t>
  </si>
  <si>
    <t>EBITDA</t>
  </si>
  <si>
    <t>Financial Income</t>
  </si>
  <si>
    <t>Financial Expenses</t>
  </si>
  <si>
    <t>Exchange rate Differences</t>
  </si>
  <si>
    <t>Profit (Loss) of Companies Accounted for Using the Equity Method</t>
  </si>
  <si>
    <t>Other Profit (Loss)</t>
  </si>
  <si>
    <t>Non-Operating Income</t>
  </si>
  <si>
    <t>Profit (Loss) Before Taxes</t>
  </si>
  <si>
    <t>Income Tax Expense</t>
  </si>
  <si>
    <t>Profit (Loss) After Tax</t>
  </si>
  <si>
    <t>Profit (Loss) Controller</t>
  </si>
  <si>
    <t>Profit (Loss) Atributtable to Minority Interest</t>
  </si>
  <si>
    <t xml:space="preserve">(*): The subtotal shown in “OPERATING INCOME” presented herein, differs from the “Profit (loss) from operating activities” line presented in the Financial Statements. This is explained by a change in taxonomy dictated by the CMF (Financial Market Commission), by means of which the concept of “Other Profit (loss)”, which in the case of Colbún are only non-operating items, was incorporated as an operating item in the Financial Statements. </t>
  </si>
  <si>
    <t xml:space="preserve">CHILE </t>
  </si>
  <si>
    <t>OPERATING INCOME</t>
  </si>
  <si>
    <t>VAR %</t>
  </si>
  <si>
    <t>Regulated Customers Sales</t>
  </si>
  <si>
    <t>Nonregulated Customers Sales</t>
  </si>
  <si>
    <t>Energy and Capacity Sales</t>
  </si>
  <si>
    <t>RAW MATERIALS AND CONSUMABLES USED</t>
  </si>
  <si>
    <t>Other Operating Expenses</t>
  </si>
  <si>
    <t>GROSS PROFIT</t>
  </si>
  <si>
    <t>Other Expenses, by nature</t>
  </si>
  <si>
    <t>OPERATING INCOME (LOSS)</t>
  </si>
  <si>
    <t>ENERGY SALES</t>
  </si>
  <si>
    <t xml:space="preserve">3Q19 </t>
  </si>
  <si>
    <t xml:space="preserve">4Q19 </t>
  </si>
  <si>
    <t>Sales to Other Generators</t>
  </si>
  <si>
    <t>(*): The subtotal shown in “OPERATING INCOME” presented herein, differs from the “Profit (loss) from operating activities” line presented in the Financial Statements. This is explained by a change in taxonomy dictated by the CMF (Financial Market Commission), by means of which the concept of “Other Profit (loss)”, which in the case of Colbún are only non-operating items, was incorporated as an operating item in the Financial Statements.</t>
  </si>
  <si>
    <t>NON-OPERATING INCOME</t>
  </si>
  <si>
    <t>(*) Regarding Fenix’s Financial Statements, for the second quarter of 2019 the following is worth to mention: 
(1) As of June 2019, a reclassification of toll’s revenues and costs was made at Fenix subsidiary level in Peru, presenting the net effect of these items. Prior to that date, income and costs were presented separately in the Income Statement. For comparative purposes, the same reclassification was made in the 1Q19’s figures presented in this file.                                                                                                                                                                                                                                                                                                                                           (2)As of June 2019, the gas contract with Calidda, in Peru, began to be recognized as a financial lease, due to the entry into force of IFRS16 accounting regulations. It should be noted that, on that date, the accounting impacts were recorded retroactively for the year 2019. For comparative purposes, the same classification was made in the 1Q19 figures presented in this file. More detail in the Appendix at the end of the Earnings Report</t>
  </si>
  <si>
    <t>BALANCE SHEET (MAIN ACCOUNTS)</t>
  </si>
  <si>
    <t>Current assets</t>
  </si>
  <si>
    <t>Non-current assets</t>
  </si>
  <si>
    <t>TOTAL ASSETS</t>
  </si>
  <si>
    <t xml:space="preserve">Current liabilities </t>
  </si>
  <si>
    <t>Non-current liabilities</t>
  </si>
  <si>
    <t>Total equity</t>
  </si>
  <si>
    <t>TOTAL LIABILITIES AND NET EQUITY</t>
  </si>
  <si>
    <t xml:space="preserve">Non-current liabilities </t>
  </si>
  <si>
    <t xml:space="preserve">Total net equity </t>
  </si>
  <si>
    <t>MAIN DEBT ITEMS</t>
  </si>
  <si>
    <t>Gross Financial Debt</t>
  </si>
  <si>
    <t>Gross Financial Debt*</t>
  </si>
  <si>
    <t>Financial Investments</t>
  </si>
  <si>
    <t>Net Debt</t>
  </si>
  <si>
    <t>EBITDA LTM</t>
  </si>
  <si>
    <t>Net Debt/EBITDA LTM (x)</t>
  </si>
  <si>
    <t>* Includes capitalised expenses.</t>
  </si>
  <si>
    <t>(*) The account “Financial Investments” presented includes the amount associated to time deposits that, by having an investment term of more than 90 days, are recorded as “Other Current Financial Assets” in the Financial Statements.</t>
  </si>
  <si>
    <t>AMORTIZATION PROFILE (*)</t>
  </si>
  <si>
    <t xml:space="preserve">Colbun </t>
  </si>
  <si>
    <t>(*) Leasings, accrued interests and activated expenses are not included.</t>
  </si>
  <si>
    <t>CASH FLOW</t>
  </si>
  <si>
    <t>Cash Equivalents, Beg. of Period*</t>
  </si>
  <si>
    <t xml:space="preserve">Cash Equivalents, Beg. of Period </t>
  </si>
  <si>
    <t xml:space="preserve">Net cash flows provided by (used in) operating activities </t>
  </si>
  <si>
    <t>Net cash flows provided by (used in) financing activities</t>
  </si>
  <si>
    <t xml:space="preserve">Net cash flows provided by (used in) financing activities </t>
  </si>
  <si>
    <t>Net cash flows provided by (used in) investing activities**</t>
  </si>
  <si>
    <t>Net cash flows provided by (used in) investing activities</t>
  </si>
  <si>
    <t>Net Cash Flows for the Period</t>
  </si>
  <si>
    <t>Effects of exchange rate changes on cash and cash equivalents</t>
  </si>
  <si>
    <t xml:space="preserve">Cash Equivalents, End of Period </t>
  </si>
  <si>
    <t>Net cash flows provided by (used in) financing activities**</t>
  </si>
  <si>
    <t>(*) The account “Cash and Cash Equivalents” presented includes the amount associated to time deposits that, by having an investment term of more than 90 days, are recorded as “Other Current Financial Assets” in the Financial Statements.
(**) "Cash Flow from Investing Activities" differs from the Financial Statements since it does not incorporate the amount associated with deposits with maturity over 90 days.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</si>
</sst>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4">
    <numFmt numFmtId="42" formatCode="_ &quot;$&quot;* #,##0_ ;_ &quot;$&quot;* \-#,##0_ ;_ &quot;$&quot;* &quot;-&quot;_ ;_ @_ "/>
    <numFmt numFmtId="41" formatCode="_ * #,##0_ ;_ * \-#,##0_ ;_ * &quot;-&quot;_ ;_ @_ "/>
    <numFmt numFmtId="43" formatCode="_ * #,##0.00_ ;_ * \-#,##0.00_ ;_ * &quot;-&quot;??_ ;_ @_ "/>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
    <numFmt numFmtId="169" formatCode="_(* #,##0.0_);_(* \(#,##0.0\);_(* &quot;-&quot;??_);_(@_)"/>
    <numFmt numFmtId="170" formatCode="_ * #,##0.0_ ;_ * \-#,##0.0_ ;_ * &quot;-&quot;_ ;_ @_ "/>
    <numFmt numFmtId="171" formatCode="_(* #,##0_);_(* \(#,##0\);_(* &quot;-&quot;??_);_(@_)"/>
    <numFmt numFmtId="172" formatCode="0%_);\(0%\)"/>
    <numFmt numFmtId="173" formatCode="0.000"/>
    <numFmt numFmtId="174" formatCode="_ * #,##0.0_ ;_ * \-#,##0.0_ ;_ * &quot;-&quot;?_ ;_ @_ "/>
    <numFmt numFmtId="175" formatCode="\-"/>
    <numFmt numFmtId="176" formatCode="_-[$€-2]\ * #,##0.00_-;\-[$€-2]\ * #,##0.00_-;_-[$€-2]\ * &quot;-&quot;??_-"/>
    <numFmt numFmtId="177" formatCode="#,##0.0"/>
    <numFmt numFmtId="178" formatCode="_-* #,##0.0_-;\-* #,##0.0_-;_-* &quot;-&quot;?_-;_-@_-"/>
    <numFmt numFmtId="179" formatCode="_-* #,##0_-;\-* #,##0_-;_-* &quot;-&quot;??_-;_-@_-"/>
    <numFmt numFmtId="180" formatCode="&quot;$&quot;\ #,##0.00;[Red]\-&quot;$&quot;\ #,##0.00"/>
    <numFmt numFmtId="181" formatCode="General_)"/>
    <numFmt numFmtId="182" formatCode="#,##0_);\(#,##0\);&quot;-       &quot;"/>
    <numFmt numFmtId="183" formatCode="0.000_)"/>
    <numFmt numFmtId="184" formatCode="#,##0_)_%;\(#,##0\)_%;"/>
    <numFmt numFmtId="185" formatCode="_._.* #,##0.0_)_%;_._.* \(#,##0.0\)_%;_._.* \ .0_)_%"/>
    <numFmt numFmtId="186" formatCode="#,##0.0_)_%;\(#,##0.0\)_%;\ \ .0_)_%"/>
    <numFmt numFmtId="187" formatCode="_._.* #,##0.0_)_%;_._.* \(#,##0.0\)_%"/>
    <numFmt numFmtId="188" formatCode="#,##0.00_)_%;\(#,##0.00\)_%;\ \ .00_)_%"/>
    <numFmt numFmtId="189" formatCode="_._.* #,##0.00_)_%;_._.* \(#,##0.00\)_%"/>
    <numFmt numFmtId="190" formatCode="_._.* #,##0.000_)_%;_._.* \(#,##0.000\)_%;_._.* \ .000_)_%"/>
    <numFmt numFmtId="191" formatCode="#,##0.000_)_%;\(#,##0.000\)_%;\ \ .000_)_%"/>
    <numFmt numFmtId="192" formatCode="_._.* #,##0.000_)_%;_._.* \(#,##0.000\)_%"/>
    <numFmt numFmtId="193" formatCode="mmmm\ d\,\ yyyy"/>
    <numFmt numFmtId="194" formatCode="_ * #,##0_ ;_ * \-#,##0_ ;_ * &quot;-&quot;??_ ;_ @_ "/>
    <numFmt numFmtId="195" formatCode="#,##0.0000_);\(#,##0.0000\);&quot;-            &quot;"/>
    <numFmt numFmtId="196" formatCode="0.00000000000"/>
    <numFmt numFmtId="197" formatCode="_._.* \(#,##0\)_%;_._.* #,##0_)_%;_._.* 0_)_%;_._.@_)_%"/>
    <numFmt numFmtId="198" formatCode="_._.&quot;$&quot;* \(#,##0\)_%;_._.&quot;$&quot;* #,##0_)_%;_._.&quot;$&quot;* 0_)_%;_._.@_)_%"/>
    <numFmt numFmtId="199" formatCode="* \(#,##0\);* #,##0_);&quot;-&quot;??_);@"/>
    <numFmt numFmtId="200" formatCode="&quot;$&quot;* #,##0_)_%;&quot;$&quot;* \(#,##0\)_%;&quot;$&quot;* &quot;-&quot;??_)_%;@_)_%"/>
    <numFmt numFmtId="201" formatCode="_._.&quot;$&quot;* #,##0.0_)_%;_._.&quot;$&quot;* \(#,##0.0\)_%;_._.&quot;$&quot;* \ .0_)_%"/>
    <numFmt numFmtId="202" formatCode="&quot;$&quot;* #,##0.0_)_%;&quot;$&quot;* \(#,##0.0\)_%;&quot;$&quot;* \ .0_)_%"/>
    <numFmt numFmtId="203" formatCode="_._.&quot;$&quot;* #,##0.0_)_%;_._.&quot;$&quot;* \(#,##0.0\)_%"/>
    <numFmt numFmtId="204" formatCode="&quot;$&quot;* #,##0.00_);&quot;$&quot;* \(#,##0.00\)"/>
    <numFmt numFmtId="205" formatCode="&quot;$&quot;* #,##0.00_)_%;&quot;$&quot;* \(#,##0.00\)_%;&quot;$&quot;* \ .00_)_%"/>
    <numFmt numFmtId="206" formatCode="_._.&quot;$&quot;* #,##0.00_)_%;_._.&quot;$&quot;* \(#,##0.00\)_%"/>
    <numFmt numFmtId="207" formatCode="_._.&quot;$&quot;* #,##0.000_)_%;_._.&quot;$&quot;* \(#,##0.000\)_%;_._.&quot;$&quot;* \ .000_)_%"/>
    <numFmt numFmtId="208" formatCode="&quot;$&quot;* #,##0.000_)_%;&quot;$&quot;* \(#,##0.000\)_%;&quot;$&quot;* \ .000_)_%"/>
    <numFmt numFmtId="209" formatCode="_._.&quot;$&quot;* #,##0.000_)_%;_._.&quot;$&quot;* \(#,##0.000\)_%"/>
    <numFmt numFmtId="210" formatCode="&quot;$&quot;#,##0\ ;\(&quot;$&quot;#,##0\)"/>
    <numFmt numFmtId="211" formatCode="* #,##0_);* \(#,##0\);&quot;-&quot;??_);@"/>
    <numFmt numFmtId="212" formatCode="&quot;$&quot;#,##0"/>
    <numFmt numFmtId="213" formatCode="#."/>
    <numFmt numFmtId="214" formatCode="_ [$€-2]\ * #,##0.00_ ;_ [$€-2]\ * \-#,##0.00_ ;_ [$€-2]\ * &quot;-&quot;??_ "/>
    <numFmt numFmtId="215" formatCode="\ "/>
    <numFmt numFmtId="216" formatCode="#,##0\ &quot;pta&quot;;\-#,##0\ &quot;pta&quot;"/>
    <numFmt numFmtId="217" formatCode="\$#.00"/>
    <numFmt numFmtId="218" formatCode="0.00_)"/>
    <numFmt numFmtId="219" formatCode="_(0_)%;\(0\)%;\ \ _)\%"/>
    <numFmt numFmtId="220" formatCode="_._._(* 0_)%;_._.\(* 0\)%;_._._(* \ _)\%"/>
    <numFmt numFmtId="221" formatCode="0_)%;\(0\)%"/>
    <numFmt numFmtId="222" formatCode="_(0.0_)%;\(0.0\)%;\ \ .0_)%"/>
    <numFmt numFmtId="223" formatCode="_._._(* 0.0_)%;_._.\(* 0.0\)%;_._._(* \ .0_)%"/>
    <numFmt numFmtId="224" formatCode="_(0.0_)%;\(0.0\)%"/>
    <numFmt numFmtId="225" formatCode="_(0.00_)%;\(0.00\)%;\ \ .00_)%"/>
    <numFmt numFmtId="226" formatCode="_._._(* 0.00_)%;_._.\(* 0.00\)%;_._._(* \ .00_)%"/>
    <numFmt numFmtId="227" formatCode="_(0.00_)%;\(0.00\)%"/>
    <numFmt numFmtId="228" formatCode="_(0.000_)%;\(0.000\)%;\ \ .000_)%"/>
    <numFmt numFmtId="229" formatCode="_._._(* 0.000_)%;_._.\(* 0.000\)%;_._._(* \ .000_)%"/>
    <numFmt numFmtId="230" formatCode="_(0.000_)%;\(0.000\)%"/>
    <numFmt numFmtId="231" formatCode="%#.00"/>
    <numFmt numFmtId="232" formatCode="_-* #,##0\ &quot;Pts&quot;_-;\-* #,##0\ &quot;Pts&quot;_-;_-* &quot;-&quot;\ &quot;Pts&quot;_-;_-@_-"/>
    <numFmt numFmtId="233" formatCode="_-* #,##0.00\ &quot;Pts&quot;_-;\-* #,##0.00\ &quot;Pts&quot;_-;_-* &quot;-&quot;??\ &quot;Pts&quot;_-;_-@_-"/>
    <numFmt numFmtId="234" formatCode="_(* #,##0_);_(* \(#,##0\);_(* \ _)"/>
    <numFmt numFmtId="235" formatCode="_(* #,##0.0_);_(* \(#,##0.0\);_(* \ .0_)"/>
    <numFmt numFmtId="236" formatCode="_(* #,##0.00_);_(* \(#,##0.00\);_(* \ .00_)"/>
    <numFmt numFmtId="237" formatCode="_(* #,##0.000_);_(* \(#,##0.000\);_(* \ .000_)"/>
    <numFmt numFmtId="238" formatCode="_(&quot;$&quot;* #,##0_);_(&quot;$&quot;* \(#,##0\);_(&quot;$&quot;* \ _)"/>
    <numFmt numFmtId="239" formatCode="_(&quot;$&quot;* #,##0.0_);_(&quot;$&quot;* \(#,##0.0\);_(&quot;$&quot;* \ .0_)"/>
    <numFmt numFmtId="240" formatCode="_(&quot;$&quot;* #,##0.00_);_(&quot;$&quot;* \(#,##0.00\);_(&quot;$&quot;* \ .00_)"/>
    <numFmt numFmtId="241" formatCode="_(&quot;$&quot;* #,##0.000_);_(&quot;$&quot;* \(#,##0.000\);_(&quot;$&quot;* \ .000_)"/>
    <numFmt numFmtId="242" formatCode="_(* #,##0.000_);_(* \(#,##0.000\);_(* &quot;-&quot;??_);_(@_)"/>
    <numFmt numFmtId="243" formatCode="_ * #,##0.00_ ;_ * \-#,##0.00_ ;_ * &quot;-&quot;_ ;_ @_ "/>
    <numFmt numFmtId="244" formatCode="_ * #,##0.0_ ;_ * \-#,##0.0_ ;_ * &quot;-&quot;??_ ;_ @_ "/>
  </numFmts>
  <fonts count="86">
    <font>
      <sz val="11"/>
      <color theme="1"/>
      <name val="Calibri"/>
      <family val="2"/>
      <scheme val="minor"/>
    </font>
    <font>
      <sz val="11"/>
      <color theme="1"/>
      <name val="Calibri"/>
      <family val="2"/>
      <scheme val="minor"/>
    </font>
    <font>
      <sz val="10"/>
      <color theme="1" tint="0.34998626667073579"/>
      <name val="Trebuchet MS"/>
      <family val="2"/>
    </font>
    <font>
      <sz val="8"/>
      <color theme="1"/>
      <name val="Arial"/>
      <family val="2"/>
    </font>
    <font>
      <b/>
      <sz val="10"/>
      <color theme="0"/>
      <name val="Trebuchet MS"/>
      <family val="2"/>
    </font>
    <font>
      <b/>
      <sz val="18"/>
      <color theme="0"/>
      <name val="Calibri"/>
      <family val="2"/>
      <scheme val="minor"/>
    </font>
    <font>
      <b/>
      <sz val="10"/>
      <color theme="1" tint="0.34998626667073579"/>
      <name val="Trebuchet MS"/>
      <family val="2"/>
    </font>
    <font>
      <sz val="12"/>
      <name val="Times New Roman"/>
      <family val="1"/>
    </font>
    <font>
      <sz val="10"/>
      <name val="Arial"/>
      <family val="2"/>
    </font>
    <font>
      <sz val="10"/>
      <color theme="1"/>
      <name val="Trebuchet MS"/>
      <family val="2"/>
    </font>
    <font>
      <sz val="10"/>
      <color theme="0" tint="-0.249977111117893"/>
      <name val="Trebuchet MS"/>
      <family val="2"/>
    </font>
    <font>
      <sz val="11"/>
      <color theme="1" tint="0.34998626667073579"/>
      <name val="Trebuchet MS"/>
      <family val="2"/>
    </font>
    <font>
      <sz val="9"/>
      <color theme="1" tint="0.34998626667073579"/>
      <name val="Trebuchet MS"/>
      <family val="2"/>
    </font>
    <font>
      <sz val="11"/>
      <color indexed="8"/>
      <name val="Calibri"/>
      <family val="2"/>
    </font>
    <font>
      <sz val="8"/>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1"/>
      <color rgb="FF9C6500"/>
      <name val="Calibri"/>
      <family val="2"/>
      <scheme val="minor"/>
    </font>
    <font>
      <sz val="11"/>
      <color indexed="9"/>
      <name val="Czcionka tekstu podstawowego"/>
      <family val="2"/>
      <charset val="238"/>
    </font>
    <font>
      <b/>
      <sz val="10"/>
      <name val="Verdana"/>
      <family val="2"/>
    </font>
    <font>
      <sz val="10"/>
      <name val="Courier"/>
      <family val="3"/>
    </font>
    <font>
      <sz val="11"/>
      <color indexed="9"/>
      <name val="Calibri"/>
      <family val="2"/>
    </font>
    <font>
      <sz val="11"/>
      <color indexed="20"/>
      <name val="Calibri"/>
      <family val="2"/>
    </font>
    <font>
      <b/>
      <sz val="18"/>
      <name val="Helv"/>
    </font>
    <font>
      <b/>
      <sz val="18"/>
      <color indexed="22"/>
      <name val="Arial"/>
      <family val="2"/>
    </font>
    <font>
      <b/>
      <sz val="12"/>
      <color indexed="22"/>
      <name val="Arial"/>
      <family val="2"/>
    </font>
    <font>
      <b/>
      <sz val="11"/>
      <color indexed="52"/>
      <name val="Calibri"/>
      <family val="2"/>
    </font>
    <font>
      <b/>
      <sz val="10"/>
      <name val="Arial"/>
      <family val="2"/>
    </font>
    <font>
      <b/>
      <sz val="11"/>
      <name val="Arial"/>
      <family val="2"/>
    </font>
    <font>
      <b/>
      <sz val="11"/>
      <color indexed="9"/>
      <name val="Calibri"/>
      <family val="2"/>
    </font>
    <font>
      <b/>
      <sz val="8"/>
      <name val="Arial"/>
      <family val="2"/>
    </font>
    <font>
      <sz val="11"/>
      <name val="Tms Rmn"/>
      <family val="1"/>
    </font>
    <font>
      <sz val="11"/>
      <name val="Times New Roman"/>
      <family val="1"/>
    </font>
    <font>
      <sz val="9"/>
      <name val="Arial"/>
      <family val="2"/>
    </font>
    <font>
      <sz val="11"/>
      <name val="New Times Roman"/>
    </font>
    <font>
      <u val="singleAccounting"/>
      <sz val="11"/>
      <name val="Times New Roman"/>
      <family val="1"/>
    </font>
    <font>
      <sz val="10"/>
      <name val="Times New Roman"/>
      <family val="1"/>
    </font>
    <font>
      <sz val="10"/>
      <color indexed="22"/>
      <name val="Arial"/>
      <family val="2"/>
    </font>
    <font>
      <b/>
      <sz val="14"/>
      <name val="Arial"/>
      <family val="2"/>
    </font>
    <font>
      <sz val="11"/>
      <color indexed="12"/>
      <name val="Times New Roman"/>
      <family val="1"/>
    </font>
    <font>
      <sz val="1"/>
      <color indexed="8"/>
      <name val="Courier"/>
      <family val="3"/>
    </font>
    <font>
      <b/>
      <sz val="1"/>
      <color indexed="8"/>
      <name val="Courier"/>
      <family val="3"/>
    </font>
    <font>
      <b/>
      <sz val="12"/>
      <name val="Arial"/>
      <family val="2"/>
    </font>
    <font>
      <i/>
      <sz val="11"/>
      <color indexed="23"/>
      <name val="Calibri"/>
      <family val="2"/>
    </font>
    <font>
      <sz val="11"/>
      <color indexed="17"/>
      <name val="Calibri"/>
      <family val="2"/>
    </font>
    <font>
      <sz val="8"/>
      <name val="Arial"/>
      <family val="2"/>
    </font>
    <font>
      <b/>
      <sz val="12"/>
      <name val="Verdana"/>
      <family val="2"/>
    </font>
    <font>
      <b/>
      <sz val="11"/>
      <color indexed="56"/>
      <name val="Calibri"/>
      <family val="2"/>
    </font>
    <font>
      <sz val="11"/>
      <color indexed="62"/>
      <name val="Calibri"/>
      <family val="2"/>
    </font>
    <font>
      <sz val="12"/>
      <name val="Helv"/>
    </font>
    <font>
      <sz val="11"/>
      <color indexed="52"/>
      <name val="Calibri"/>
      <family val="2"/>
    </font>
    <font>
      <sz val="8"/>
      <color indexed="18"/>
      <name val="Verdana"/>
      <family val="2"/>
    </font>
    <font>
      <sz val="8"/>
      <name val="Verdana"/>
      <family val="2"/>
    </font>
    <font>
      <b/>
      <i/>
      <sz val="16"/>
      <name val="Helv"/>
    </font>
    <font>
      <b/>
      <sz val="11"/>
      <color indexed="63"/>
      <name val="Calibri"/>
      <family val="2"/>
    </font>
    <font>
      <sz val="10"/>
      <name val="Helv"/>
    </font>
    <font>
      <sz val="18"/>
      <color indexed="8"/>
      <name val="Tms Rmn"/>
    </font>
    <font>
      <sz val="10"/>
      <name val="MS Sans Serif"/>
      <family val="2"/>
    </font>
    <font>
      <b/>
      <sz val="10"/>
      <name val="MS Sans Serif"/>
      <family val="2"/>
    </font>
    <font>
      <sz val="9"/>
      <name val="Helv"/>
    </font>
    <font>
      <b/>
      <sz val="10"/>
      <color indexed="10"/>
      <name val="Arial"/>
      <family val="2"/>
    </font>
    <font>
      <b/>
      <sz val="18"/>
      <color indexed="56"/>
      <name val="Cambria"/>
      <family val="2"/>
    </font>
    <font>
      <sz val="11"/>
      <color indexed="10"/>
      <name val="Calibri"/>
      <family val="2"/>
    </font>
    <font>
      <sz val="8"/>
      <color indexed="72"/>
      <name val="MS Sans Serif"/>
      <family val="2"/>
    </font>
    <font>
      <sz val="11"/>
      <name val="Arial"/>
      <family val="2"/>
    </font>
    <font>
      <sz val="11"/>
      <color indexed="60"/>
      <name val="Calibri"/>
      <family val="2"/>
    </font>
    <font>
      <b/>
      <sz val="11"/>
      <color indexed="8"/>
      <name val="Calibri"/>
      <family val="2"/>
    </font>
    <font>
      <sz val="11"/>
      <name val="Calibri"/>
      <family val="2"/>
    </font>
    <font>
      <sz val="10"/>
      <name val="Bookman Old Style"/>
      <family val="1"/>
    </font>
    <font>
      <sz val="10"/>
      <color theme="0"/>
      <name val="Trebuchet MS"/>
      <family val="2"/>
    </font>
    <font>
      <sz val="10"/>
      <color rgb="FF595959"/>
      <name val="Trebuchet MS"/>
      <family val="2"/>
    </font>
  </fonts>
  <fills count="67">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3"/>
        <bgColor indexed="64"/>
      </patternFill>
    </fill>
    <fill>
      <patternFill patternType="solid">
        <fgColor theme="4"/>
        <bgColor indexed="64"/>
      </patternFill>
    </fill>
    <fill>
      <patternFill patternType="solid">
        <fgColor rgb="FF00B050"/>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0"/>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7"/>
        <bgColor indexed="64"/>
      </patternFill>
    </fill>
    <fill>
      <patternFill patternType="solid">
        <fgColor indexed="26"/>
        <bgColor indexed="64"/>
      </patternFill>
    </fill>
    <fill>
      <patternFill patternType="solid">
        <fgColor indexed="26"/>
      </patternFill>
    </fill>
    <fill>
      <patternFill patternType="mediumGray">
        <fgColor indexed="22"/>
      </patternFill>
    </fill>
    <fill>
      <patternFill patternType="solid">
        <fgColor indexed="43"/>
      </patternFill>
    </fill>
    <fill>
      <patternFill patternType="solid">
        <fgColor rgb="FFFFFFFF"/>
        <bgColor rgb="FF000000"/>
      </patternFill>
    </fill>
  </fills>
  <borders count="3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4"/>
      </top>
      <bottom/>
      <diagonal/>
    </border>
    <border>
      <left/>
      <right/>
      <top style="thin">
        <color indexed="64"/>
      </top>
      <bottom style="double">
        <color indexed="64"/>
      </bottom>
      <diagonal/>
    </border>
    <border>
      <left/>
      <right/>
      <top/>
      <bottom style="medium">
        <color indexed="64"/>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21"/>
      </top>
      <bottom/>
      <diagonal/>
    </border>
    <border>
      <left/>
      <right/>
      <top style="thin">
        <color indexed="62"/>
      </top>
      <bottom style="double">
        <color indexed="62"/>
      </bottom>
      <diagonal/>
    </border>
    <border>
      <left/>
      <right/>
      <top style="medium">
        <color indexed="64"/>
      </top>
      <bottom style="medium">
        <color indexed="64"/>
      </bottom>
      <diagonal/>
    </border>
    <border>
      <left/>
      <right/>
      <top/>
      <bottom style="medium">
        <color indexed="64"/>
      </bottom>
      <diagonal/>
    </border>
    <border>
      <left/>
      <right/>
      <top/>
      <bottom style="medium">
        <color indexed="30"/>
      </bottom>
      <diagonal/>
    </border>
    <border>
      <left/>
      <right/>
      <top style="medium">
        <color indexed="64"/>
      </top>
      <bottom style="medium">
        <color indexed="64"/>
      </bottom>
      <diagonal/>
    </border>
    <border>
      <left/>
      <right/>
      <top/>
      <bottom style="medium">
        <color indexed="64"/>
      </bottom>
      <diagonal/>
    </border>
    <border>
      <left/>
      <right/>
      <top/>
      <bottom style="medium">
        <color indexed="30"/>
      </bottom>
      <diagonal/>
    </border>
    <border>
      <left/>
      <right/>
      <top style="medium">
        <color indexed="64"/>
      </top>
      <bottom style="medium">
        <color indexed="64"/>
      </bottom>
      <diagonal/>
    </border>
    <border>
      <left/>
      <right/>
      <top style="medium">
        <color indexed="64"/>
      </top>
      <bottom style="medium">
        <color indexed="64"/>
      </bottom>
      <diagonal/>
    </border>
    <border>
      <left/>
      <right/>
      <top style="medium">
        <color indexed="64"/>
      </top>
      <bottom style="medium">
        <color indexed="64"/>
      </bottom>
      <diagonal/>
    </border>
  </borders>
  <cellStyleXfs count="5184">
    <xf numFmtId="0" fontId="0" fillId="0" borderId="0"/>
    <xf numFmtId="41" fontId="1" fillId="0" borderId="0" applyFont="0" applyFill="0" applyBorder="0" applyAlignment="0" applyProtection="0"/>
    <xf numFmtId="9" fontId="1" fillId="0" borderId="0" applyFont="0" applyFill="0" applyBorder="0" applyAlignment="0" applyProtection="0"/>
    <xf numFmtId="0" fontId="3" fillId="0" borderId="0"/>
    <xf numFmtId="167" fontId="8" fillId="0" borderId="0" applyFont="0" applyFill="0" applyBorder="0" applyAlignment="0" applyProtection="0"/>
    <xf numFmtId="167" fontId="1" fillId="0" borderId="0" applyFont="0" applyFill="0" applyBorder="0" applyAlignment="0" applyProtection="0"/>
    <xf numFmtId="0" fontId="8" fillId="0" borderId="0"/>
    <xf numFmtId="167" fontId="8" fillId="0" borderId="0" applyFont="0" applyFill="0" applyBorder="0" applyAlignment="0" applyProtection="0"/>
    <xf numFmtId="43" fontId="1" fillId="0" borderId="0" applyFont="0" applyFill="0" applyBorder="0" applyAlignment="0" applyProtection="0"/>
    <xf numFmtId="0" fontId="8" fillId="0" borderId="0"/>
    <xf numFmtId="176" fontId="8"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 fillId="0" borderId="0"/>
    <xf numFmtId="0" fontId="8" fillId="0" borderId="0"/>
    <xf numFmtId="0" fontId="1" fillId="0" borderId="0"/>
    <xf numFmtId="0" fontId="8" fillId="0" borderId="0"/>
    <xf numFmtId="9" fontId="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8" fillId="0" borderId="0"/>
    <xf numFmtId="167" fontId="8" fillId="0" borderId="0" applyFont="0" applyFill="0" applyBorder="0" applyAlignment="0" applyProtection="0"/>
    <xf numFmtId="0" fontId="1" fillId="0" borderId="0"/>
    <xf numFmtId="0" fontId="17" fillId="0" borderId="2" applyNumberFormat="0" applyFill="0" applyAlignment="0" applyProtection="0"/>
    <xf numFmtId="0" fontId="18" fillId="0" borderId="3" applyNumberFormat="0" applyFill="0" applyAlignment="0" applyProtection="0"/>
    <xf numFmtId="0" fontId="18" fillId="0" borderId="0" applyNumberFormat="0" applyFill="0" applyBorder="0" applyAlignment="0" applyProtection="0"/>
    <xf numFmtId="0" fontId="19" fillId="8" borderId="0" applyNumberFormat="0" applyBorder="0" applyAlignment="0" applyProtection="0"/>
    <xf numFmtId="0" fontId="20" fillId="9" borderId="0" applyNumberFormat="0" applyBorder="0" applyAlignment="0" applyProtection="0"/>
    <xf numFmtId="0" fontId="22" fillId="11" borderId="4" applyNumberFormat="0" applyAlignment="0" applyProtection="0"/>
    <xf numFmtId="0" fontId="23" fillId="12" borderId="5" applyNumberFormat="0" applyAlignment="0" applyProtection="0"/>
    <xf numFmtId="0" fontId="24" fillId="12" borderId="4" applyNumberFormat="0" applyAlignment="0" applyProtection="0"/>
    <xf numFmtId="0" fontId="25" fillId="0" borderId="6" applyNumberFormat="0" applyFill="0" applyAlignment="0" applyProtection="0"/>
    <xf numFmtId="0" fontId="26" fillId="13" borderId="7" applyNumberFormat="0" applyAlignment="0" applyProtection="0"/>
    <xf numFmtId="0" fontId="27" fillId="0" borderId="0" applyNumberFormat="0" applyFill="0" applyBorder="0" applyAlignment="0" applyProtection="0"/>
    <xf numFmtId="0" fontId="1" fillId="14" borderId="8" applyNumberFormat="0" applyFont="0" applyAlignment="0" applyProtection="0"/>
    <xf numFmtId="0" fontId="28" fillId="0" borderId="0" applyNumberFormat="0" applyFill="0" applyBorder="0" applyAlignment="0" applyProtection="0"/>
    <xf numFmtId="0" fontId="29" fillId="0" borderId="9" applyNumberFormat="0" applyFill="0" applyAlignment="0" applyProtection="0"/>
    <xf numFmtId="0" fontId="30"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0"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0"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0"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0"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0"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1" fillId="0" borderId="0" applyNumberFormat="0" applyFill="0" applyBorder="0" applyAlignment="0" applyProtection="0"/>
    <xf numFmtId="0" fontId="16" fillId="0" borderId="1" applyNumberFormat="0" applyFill="0" applyAlignment="0" applyProtection="0"/>
    <xf numFmtId="0" fontId="32" fillId="10" borderId="0" applyNumberFormat="0" applyBorder="0" applyAlignment="0" applyProtection="0"/>
    <xf numFmtId="0" fontId="30" fillId="18" borderId="0" applyNumberFormat="0" applyBorder="0" applyAlignment="0" applyProtection="0"/>
    <xf numFmtId="0" fontId="30" fillId="22" borderId="0" applyNumberFormat="0" applyBorder="0" applyAlignment="0" applyProtection="0"/>
    <xf numFmtId="0" fontId="30" fillId="26" borderId="0" applyNumberFormat="0" applyBorder="0" applyAlignment="0" applyProtection="0"/>
    <xf numFmtId="0" fontId="30" fillId="30" borderId="0" applyNumberFormat="0" applyBorder="0" applyAlignment="0" applyProtection="0"/>
    <xf numFmtId="0" fontId="30" fillId="34" borderId="0" applyNumberFormat="0" applyBorder="0" applyAlignment="0" applyProtection="0"/>
    <xf numFmtId="0" fontId="30" fillId="38" borderId="0" applyNumberFormat="0" applyBorder="0" applyAlignment="0" applyProtection="0"/>
    <xf numFmtId="0" fontId="33" fillId="39" borderId="0" applyNumberFormat="0" applyBorder="0" applyAlignment="0" applyProtection="0"/>
    <xf numFmtId="0" fontId="7" fillId="0" borderId="0"/>
    <xf numFmtId="0" fontId="8" fillId="0" borderId="0"/>
    <xf numFmtId="0" fontId="35" fillId="0" borderId="0"/>
    <xf numFmtId="0" fontId="13" fillId="41"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50" borderId="0" applyNumberFormat="0" applyBorder="0" applyAlignment="0" applyProtection="0"/>
    <xf numFmtId="0" fontId="36" fillId="39" borderId="0" applyNumberFormat="0" applyBorder="0" applyAlignment="0" applyProtection="0"/>
    <xf numFmtId="0" fontId="36" fillId="48" borderId="0" applyNumberFormat="0" applyBorder="0" applyAlignment="0" applyProtection="0"/>
    <xf numFmtId="0" fontId="36" fillId="49"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5" fillId="0" borderId="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7" borderId="0" applyNumberFormat="0" applyBorder="0" applyAlignment="0" applyProtection="0"/>
    <xf numFmtId="0" fontId="37" fillId="42" borderId="0" applyNumberFormat="0" applyBorder="0" applyAlignment="0" applyProtection="0"/>
    <xf numFmtId="0" fontId="38" fillId="0" borderId="0"/>
    <xf numFmtId="0" fontId="39" fillId="0" borderId="0" applyNumberFormat="0" applyFill="0" applyBorder="0" applyAlignment="0" applyProtection="0"/>
    <xf numFmtId="0" fontId="40" fillId="0" borderId="0" applyNumberFormat="0" applyFill="0" applyBorder="0" applyAlignment="0" applyProtection="0"/>
    <xf numFmtId="0" fontId="41" fillId="58" borderId="15" applyNumberFormat="0" applyAlignment="0" applyProtection="0"/>
    <xf numFmtId="0" fontId="42" fillId="0" borderId="0" applyFill="0" applyBorder="0" applyProtection="0">
      <alignment horizontal="center"/>
      <protection locked="0"/>
    </xf>
    <xf numFmtId="0" fontId="43" fillId="0" borderId="0" applyFill="0" applyBorder="0" applyProtection="0">
      <alignment horizontal="center"/>
    </xf>
    <xf numFmtId="0" fontId="44" fillId="59" borderId="16" applyNumberFormat="0" applyAlignment="0" applyProtection="0"/>
    <xf numFmtId="0" fontId="45" fillId="0" borderId="13">
      <alignment horizontal="center"/>
    </xf>
    <xf numFmtId="183" fontId="46" fillId="0" borderId="0"/>
    <xf numFmtId="183" fontId="46" fillId="0" borderId="0"/>
    <xf numFmtId="183" fontId="46" fillId="0" borderId="0"/>
    <xf numFmtId="183" fontId="46" fillId="0" borderId="0"/>
    <xf numFmtId="183" fontId="46" fillId="0" borderId="0"/>
    <xf numFmtId="183" fontId="46" fillId="0" borderId="0"/>
    <xf numFmtId="183" fontId="46" fillId="0" borderId="0"/>
    <xf numFmtId="183" fontId="46" fillId="0" borderId="0"/>
    <xf numFmtId="184" fontId="8" fillId="0" borderId="0" applyFont="0" applyFill="0" applyBorder="0" applyAlignment="0" applyProtection="0"/>
    <xf numFmtId="185" fontId="47" fillId="0" borderId="0" applyFont="0" applyFill="0" applyBorder="0" applyAlignment="0" applyProtection="0"/>
    <xf numFmtId="186" fontId="48" fillId="0" borderId="0" applyFont="0" applyFill="0" applyBorder="0" applyAlignment="0" applyProtection="0"/>
    <xf numFmtId="187" fontId="47" fillId="0" borderId="0" applyFont="0" applyFill="0" applyBorder="0" applyAlignment="0" applyProtection="0"/>
    <xf numFmtId="39" fontId="49" fillId="0" borderId="0" applyFont="0" applyFill="0" applyBorder="0" applyAlignment="0" applyProtection="0"/>
    <xf numFmtId="188" fontId="48" fillId="0" borderId="0" applyFont="0" applyFill="0" applyBorder="0" applyAlignment="0" applyProtection="0"/>
    <xf numFmtId="189" fontId="50" fillId="0" borderId="0" applyFont="0" applyFill="0" applyBorder="0" applyAlignment="0" applyProtection="0"/>
    <xf numFmtId="190" fontId="50" fillId="0" borderId="0" applyFont="0" applyFill="0" applyBorder="0" applyAlignment="0" applyProtection="0"/>
    <xf numFmtId="191" fontId="48" fillId="0" borderId="0" applyFont="0" applyFill="0" applyBorder="0" applyAlignment="0" applyProtection="0"/>
    <xf numFmtId="192" fontId="50"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9" fontId="8" fillId="0" borderId="0" applyFont="0" applyFill="0" applyBorder="0" applyAlignment="0" applyProtection="0"/>
    <xf numFmtId="43" fontId="13" fillId="0" borderId="0" applyFont="0" applyFill="0" applyBorder="0" applyAlignment="0" applyProtection="0"/>
    <xf numFmtId="167" fontId="8" fillId="0" borderId="0" applyFont="0" applyFill="0" applyBorder="0" applyAlignment="0" applyProtection="0"/>
    <xf numFmtId="43" fontId="13"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43" fontId="13" fillId="0" borderId="0" applyFont="0" applyFill="0" applyBorder="0" applyAlignment="0" applyProtection="0"/>
    <xf numFmtId="182" fontId="8" fillId="0" borderId="0" applyFont="0" applyFill="0" applyBorder="0" applyAlignment="0" applyProtection="0"/>
    <xf numFmtId="194" fontId="8" fillId="0" borderId="0" applyFont="0" applyFill="0" applyBorder="0" applyAlignment="0" applyProtection="0"/>
    <xf numFmtId="195" fontId="7" fillId="0" borderId="0" applyFont="0" applyFill="0" applyBorder="0" applyAlignment="0" applyProtection="0"/>
    <xf numFmtId="193" fontId="7" fillId="0" borderId="0" applyFont="0" applyFill="0" applyBorder="0" applyAlignment="0" applyProtection="0"/>
    <xf numFmtId="43" fontId="51" fillId="0" borderId="0" applyFont="0" applyFill="0" applyBorder="0" applyAlignment="0" applyProtection="0"/>
    <xf numFmtId="196" fontId="7" fillId="0" borderId="0" applyFont="0" applyFill="0" applyBorder="0" applyAlignment="0" applyProtection="0"/>
    <xf numFmtId="194" fontId="8" fillId="0" borderId="0" applyFont="0" applyFill="0" applyBorder="0" applyAlignment="0" applyProtection="0"/>
    <xf numFmtId="181" fontId="8" fillId="0" borderId="0" applyFont="0" applyFill="0" applyBorder="0" applyAlignment="0" applyProtection="0"/>
    <xf numFmtId="43" fontId="13"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3" fontId="52" fillId="0" borderId="0" applyFont="0" applyFill="0" applyBorder="0" applyAlignment="0" applyProtection="0"/>
    <xf numFmtId="0" fontId="53" fillId="0" borderId="0" applyFill="0" applyBorder="0" applyAlignment="0" applyProtection="0">
      <protection locked="0"/>
    </xf>
    <xf numFmtId="197" fontId="54" fillId="0" borderId="0" applyFill="0" applyBorder="0" applyProtection="0"/>
    <xf numFmtId="198" fontId="47" fillId="0" borderId="0" applyFont="0" applyFill="0" applyBorder="0" applyAlignment="0" applyProtection="0"/>
    <xf numFmtId="199" fontId="51" fillId="0" borderId="0" applyFill="0" applyBorder="0" applyProtection="0"/>
    <xf numFmtId="199" fontId="51" fillId="0" borderId="17" applyFill="0" applyProtection="0"/>
    <xf numFmtId="199" fontId="51" fillId="0" borderId="18" applyFill="0" applyProtection="0"/>
    <xf numFmtId="200" fontId="8" fillId="0" borderId="0" applyFont="0" applyFill="0" applyBorder="0" applyAlignment="0" applyProtection="0"/>
    <xf numFmtId="201" fontId="50" fillId="0" borderId="0" applyFont="0" applyFill="0" applyBorder="0" applyAlignment="0" applyProtection="0"/>
    <xf numFmtId="202" fontId="48" fillId="0" borderId="0" applyFont="0" applyFill="0" applyBorder="0" applyAlignment="0" applyProtection="0"/>
    <xf numFmtId="203" fontId="50" fillId="0" borderId="0" applyFont="0" applyFill="0" applyBorder="0" applyAlignment="0" applyProtection="0"/>
    <xf numFmtId="204" fontId="49" fillId="0" borderId="0" applyFont="0" applyFill="0" applyBorder="0" applyAlignment="0" applyProtection="0"/>
    <xf numFmtId="205" fontId="48" fillId="0" borderId="0" applyFont="0" applyFill="0" applyBorder="0" applyAlignment="0" applyProtection="0"/>
    <xf numFmtId="206" fontId="50" fillId="0" borderId="0" applyFont="0" applyFill="0" applyBorder="0" applyAlignment="0" applyProtection="0"/>
    <xf numFmtId="207" fontId="50" fillId="0" borderId="0" applyFont="0" applyFill="0" applyBorder="0" applyAlignment="0" applyProtection="0"/>
    <xf numFmtId="208" fontId="48" fillId="0" borderId="0" applyFont="0" applyFill="0" applyBorder="0" applyAlignment="0" applyProtection="0"/>
    <xf numFmtId="209" fontId="50" fillId="0" borderId="0" applyFont="0" applyFill="0" applyBorder="0" applyAlignment="0" applyProtection="0"/>
    <xf numFmtId="210" fontId="52" fillId="0" borderId="0" applyFont="0" applyFill="0" applyBorder="0" applyAlignment="0" applyProtection="0"/>
    <xf numFmtId="0" fontId="52" fillId="0" borderId="0" applyFont="0" applyFill="0" applyBorder="0" applyAlignment="0" applyProtection="0"/>
    <xf numFmtId="211" fontId="51" fillId="0" borderId="0" applyFill="0" applyBorder="0" applyProtection="0"/>
    <xf numFmtId="211" fontId="51" fillId="0" borderId="17" applyFill="0" applyProtection="0"/>
    <xf numFmtId="211" fontId="51" fillId="0" borderId="18" applyFill="0" applyProtection="0"/>
    <xf numFmtId="171" fontId="8" fillId="0" borderId="0" applyFont="0" applyFill="0" applyBorder="0" applyAlignment="0" applyProtection="0"/>
    <xf numFmtId="212" fontId="8" fillId="0" borderId="0" applyFont="0" applyFill="0" applyBorder="0" applyAlignment="0" applyProtection="0"/>
    <xf numFmtId="0" fontId="55" fillId="0" borderId="0">
      <protection locked="0"/>
    </xf>
    <xf numFmtId="213" fontId="56" fillId="0" borderId="0">
      <protection locked="0"/>
    </xf>
    <xf numFmtId="213" fontId="56" fillId="0" borderId="0">
      <protection locked="0"/>
    </xf>
    <xf numFmtId="0" fontId="57" fillId="0" borderId="0" applyNumberFormat="0" applyFill="0" applyBorder="0" applyAlignment="0" applyProtection="0"/>
    <xf numFmtId="214" fontId="8" fillId="0" borderId="0" applyFont="0" applyFill="0" applyBorder="0" applyAlignment="0" applyProtection="0"/>
    <xf numFmtId="0" fontId="58" fillId="0" borderId="0" applyNumberFormat="0" applyFill="0" applyBorder="0" applyAlignment="0" applyProtection="0"/>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2" fillId="0" borderId="0" applyFont="0" applyFill="0" applyBorder="0" applyAlignment="0" applyProtection="0"/>
    <xf numFmtId="2" fontId="52" fillId="0" borderId="0" applyFont="0" applyFill="0" applyBorder="0" applyAlignment="0" applyProtection="0"/>
    <xf numFmtId="4" fontId="55" fillId="0" borderId="0">
      <protection locked="0"/>
    </xf>
    <xf numFmtId="2" fontId="52" fillId="0" borderId="0" applyFont="0" applyFill="0" applyBorder="0" applyAlignment="0" applyProtection="0"/>
    <xf numFmtId="0" fontId="59" fillId="43" borderId="0" applyNumberFormat="0" applyBorder="0" applyAlignment="0" applyProtection="0"/>
    <xf numFmtId="38" fontId="60" fillId="60" borderId="0" applyNumberFormat="0" applyBorder="0" applyAlignment="0" applyProtection="0"/>
    <xf numFmtId="0" fontId="61" fillId="60" borderId="0" applyNumberFormat="0" applyBorder="0" applyAlignment="0" applyProtection="0"/>
    <xf numFmtId="0" fontId="57" fillId="0" borderId="10" applyNumberFormat="0" applyAlignment="0" applyProtection="0">
      <alignment horizontal="left" vertical="center"/>
    </xf>
    <xf numFmtId="0" fontId="57" fillId="0" borderId="12">
      <alignment horizontal="left" vertical="center"/>
    </xf>
    <xf numFmtId="14" fontId="42" fillId="61" borderId="19">
      <alignment horizontal="center" vertical="center" wrapText="1"/>
    </xf>
    <xf numFmtId="0" fontId="39" fillId="0" borderId="0" applyNumberFormat="0" applyFill="0" applyBorder="0" applyAlignment="0" applyProtection="0"/>
    <xf numFmtId="0" fontId="40" fillId="0" borderId="0" applyNumberFormat="0" applyFill="0" applyBorder="0" applyAlignment="0" applyProtection="0"/>
    <xf numFmtId="0" fontId="62" fillId="0" borderId="20" applyNumberFormat="0" applyFill="0" applyAlignment="0" applyProtection="0"/>
    <xf numFmtId="0" fontId="62" fillId="0" borderId="0" applyNumberFormat="0" applyFill="0" applyBorder="0" applyAlignment="0" applyProtection="0"/>
    <xf numFmtId="0" fontId="43" fillId="0" borderId="0" applyFill="0" applyAlignment="0" applyProtection="0">
      <protection locked="0"/>
    </xf>
    <xf numFmtId="0" fontId="43" fillId="0" borderId="11" applyFill="0" applyAlignment="0" applyProtection="0">
      <protection locked="0"/>
    </xf>
    <xf numFmtId="0" fontId="8" fillId="0" borderId="0">
      <protection locked="0"/>
    </xf>
    <xf numFmtId="0" fontId="8" fillId="0" borderId="0">
      <protection locked="0"/>
    </xf>
    <xf numFmtId="10" fontId="60" fillId="62" borderId="14" applyNumberFormat="0" applyBorder="0" applyAlignment="0" applyProtection="0"/>
    <xf numFmtId="0" fontId="63" fillId="46" borderId="15" applyNumberFormat="0" applyAlignment="0" applyProtection="0"/>
    <xf numFmtId="215" fontId="64" fillId="40" borderId="0" applyFont="0" applyFill="0" applyBorder="0" applyAlignment="0" applyProtection="0">
      <alignment horizontal="center"/>
    </xf>
    <xf numFmtId="0" fontId="65" fillId="0" borderId="21" applyNumberFormat="0" applyFill="0" applyAlignment="0" applyProtection="0"/>
    <xf numFmtId="0" fontId="66" fillId="62" borderId="0" applyNumberFormat="0" applyFont="0" applyFill="0" applyBorder="0" applyProtection="0">
      <alignment vertical="top" wrapText="1"/>
      <protection locked="0"/>
    </xf>
    <xf numFmtId="0" fontId="67" fillId="0" borderId="0" applyNumberFormat="0" applyFont="0" applyFill="0" applyBorder="0" applyProtection="0">
      <alignment vertical="top" wrapText="1"/>
    </xf>
    <xf numFmtId="0" fontId="53" fillId="0" borderId="0" applyFill="0" applyBorder="0" applyAlignment="0" applyProtection="0"/>
    <xf numFmtId="3" fontId="8" fillId="0" borderId="0"/>
    <xf numFmtId="37" fontId="66" fillId="62" borderId="0" applyFont="0" applyFill="0" applyProtection="0">
      <alignment vertical="top"/>
      <protection locked="0"/>
    </xf>
    <xf numFmtId="43" fontId="7" fillId="0" borderId="0" applyFont="0" applyFill="0" applyBorder="0" applyAlignment="0" applyProtection="0"/>
    <xf numFmtId="216" fontId="8" fillId="0" borderId="0" applyFont="0" applyFill="0" applyBorder="0" applyAlignment="0" applyProtection="0"/>
    <xf numFmtId="217" fontId="55" fillId="0" borderId="0">
      <protection locked="0"/>
    </xf>
    <xf numFmtId="210" fontId="52" fillId="0" borderId="0" applyFont="0" applyFill="0" applyBorder="0" applyAlignment="0" applyProtection="0"/>
    <xf numFmtId="0" fontId="35" fillId="0" borderId="0"/>
    <xf numFmtId="181" fontId="64" fillId="0" borderId="0"/>
    <xf numFmtId="218" fontId="68" fillId="0" borderId="0"/>
    <xf numFmtId="0" fontId="13" fillId="0" borderId="0"/>
    <xf numFmtId="0" fontId="7" fillId="0" borderId="0"/>
    <xf numFmtId="0" fontId="13" fillId="0" borderId="0"/>
    <xf numFmtId="0" fontId="8" fillId="0" borderId="0"/>
    <xf numFmtId="0" fontId="13" fillId="0" borderId="0"/>
    <xf numFmtId="0" fontId="7" fillId="0" borderId="0"/>
    <xf numFmtId="0" fontId="7" fillId="63" borderId="22" applyNumberFormat="0" applyFont="0" applyAlignment="0" applyProtection="0"/>
    <xf numFmtId="0" fontId="69" fillId="58" borderId="23" applyNumberFormat="0" applyAlignment="0" applyProtection="0"/>
    <xf numFmtId="219" fontId="50" fillId="0" borderId="0" applyFont="0" applyFill="0" applyBorder="0" applyAlignment="0" applyProtection="0"/>
    <xf numFmtId="220" fontId="47" fillId="0" borderId="0" applyFont="0" applyFill="0" applyBorder="0" applyAlignment="0" applyProtection="0"/>
    <xf numFmtId="221" fontId="43" fillId="0" borderId="0" applyFont="0" applyFill="0" applyBorder="0" applyAlignment="0" applyProtection="0"/>
    <xf numFmtId="172" fontId="8" fillId="0" borderId="0" applyFont="0" applyFill="0" applyBorder="0" applyAlignment="0" applyProtection="0"/>
    <xf numFmtId="10" fontId="8" fillId="0" borderId="0" applyFont="0" applyFill="0" applyBorder="0" applyAlignment="0" applyProtection="0"/>
    <xf numFmtId="222" fontId="50" fillId="0" borderId="0" applyFont="0" applyFill="0" applyBorder="0" applyAlignment="0" applyProtection="0"/>
    <xf numFmtId="223" fontId="47" fillId="0" borderId="0" applyFont="0" applyFill="0" applyBorder="0" applyAlignment="0" applyProtection="0"/>
    <xf numFmtId="224" fontId="50" fillId="0" borderId="0" applyFont="0" applyFill="0" applyBorder="0" applyAlignment="0" applyProtection="0"/>
    <xf numFmtId="225" fontId="50" fillId="0" borderId="0" applyFont="0" applyFill="0" applyBorder="0" applyAlignment="0" applyProtection="0"/>
    <xf numFmtId="226" fontId="47" fillId="0" borderId="0" applyFont="0" applyFill="0" applyBorder="0" applyAlignment="0" applyProtection="0"/>
    <xf numFmtId="227" fontId="50" fillId="0" borderId="0" applyFont="0" applyFill="0" applyBorder="0" applyAlignment="0" applyProtection="0"/>
    <xf numFmtId="228" fontId="50" fillId="0" borderId="0" applyFont="0" applyFill="0" applyBorder="0" applyAlignment="0" applyProtection="0"/>
    <xf numFmtId="229" fontId="47" fillId="0" borderId="0" applyFont="0" applyFill="0" applyBorder="0" applyAlignment="0" applyProtection="0"/>
    <xf numFmtId="230" fontId="50" fillId="0" borderId="0" applyFont="0" applyFill="0" applyBorder="0" applyAlignment="0" applyProtection="0"/>
    <xf numFmtId="9" fontId="7"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3" fillId="0" borderId="0" applyFont="0" applyFill="0" applyBorder="0" applyAlignment="0" applyProtection="0"/>
    <xf numFmtId="9" fontId="8" fillId="0" borderId="0" applyFont="0" applyFill="0" applyBorder="0" applyAlignment="0" applyProtection="0"/>
    <xf numFmtId="0" fontId="70" fillId="0" borderId="0"/>
    <xf numFmtId="231" fontId="55" fillId="0" borderId="0">
      <protection locked="0"/>
    </xf>
    <xf numFmtId="0" fontId="71" fillId="0" borderId="0" applyNumberFormat="0" applyFont="0" applyFill="0" applyBorder="0" applyAlignment="0">
      <protection hidden="1"/>
    </xf>
    <xf numFmtId="0" fontId="72" fillId="0" borderId="0" applyNumberFormat="0" applyFont="0" applyFill="0" applyBorder="0" applyAlignment="0" applyProtection="0">
      <alignment horizontal="left"/>
    </xf>
    <xf numFmtId="15" fontId="72" fillId="0" borderId="0" applyFont="0" applyFill="0" applyBorder="0" applyAlignment="0" applyProtection="0"/>
    <xf numFmtId="4" fontId="72" fillId="0" borderId="0" applyFont="0" applyFill="0" applyBorder="0" applyAlignment="0" applyProtection="0"/>
    <xf numFmtId="0" fontId="73" fillId="0" borderId="19">
      <alignment horizontal="center"/>
    </xf>
    <xf numFmtId="3" fontId="72" fillId="0" borderId="0" applyFont="0" applyFill="0" applyBorder="0" applyAlignment="0" applyProtection="0"/>
    <xf numFmtId="0" fontId="72" fillId="64" borderId="0" applyNumberFormat="0" applyFont="0" applyBorder="0" applyAlignment="0" applyProtection="0"/>
    <xf numFmtId="177" fontId="8" fillId="0" borderId="0" applyFill="0" applyBorder="0" applyAlignment="0" applyProtection="0"/>
    <xf numFmtId="3" fontId="52" fillId="0" borderId="0" applyFont="0" applyFill="0" applyBorder="0" applyAlignment="0" applyProtection="0"/>
    <xf numFmtId="0" fontId="70" fillId="0" borderId="0"/>
    <xf numFmtId="0" fontId="70" fillId="0" borderId="0"/>
    <xf numFmtId="0" fontId="70" fillId="0" borderId="0"/>
    <xf numFmtId="3" fontId="8" fillId="0" borderId="0" applyFill="0" applyBorder="0" applyAlignment="0" applyProtection="0"/>
    <xf numFmtId="0" fontId="70" fillId="0" borderId="0"/>
    <xf numFmtId="181" fontId="64" fillId="0" borderId="0"/>
    <xf numFmtId="0" fontId="8" fillId="0" borderId="0">
      <alignment vertical="top"/>
    </xf>
    <xf numFmtId="0" fontId="72" fillId="0" borderId="0"/>
    <xf numFmtId="0" fontId="34" fillId="60" borderId="0" applyNumberFormat="0" applyBorder="0" applyAlignment="0" applyProtection="0"/>
    <xf numFmtId="0" fontId="43" fillId="0" borderId="0" applyFill="0" applyBorder="0" applyAlignment="0" applyProtection="0"/>
    <xf numFmtId="0" fontId="74" fillId="0" borderId="24" applyNumberFormat="0" applyFont="0" applyFill="0" applyProtection="0">
      <alignment vertical="top" wrapText="1"/>
    </xf>
    <xf numFmtId="0" fontId="75" fillId="0" borderId="0" applyFill="0" applyBorder="0" applyProtection="0">
      <alignment horizontal="left" vertical="top"/>
    </xf>
    <xf numFmtId="0" fontId="76" fillId="0" borderId="0" applyNumberFormat="0" applyFill="0" applyBorder="0" applyAlignment="0" applyProtection="0"/>
    <xf numFmtId="165"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6" fontId="8" fillId="0" borderId="0" applyFont="0" applyFill="0" applyBorder="0" applyAlignment="0" applyProtection="0"/>
    <xf numFmtId="232" fontId="7" fillId="0" borderId="0" applyFont="0" applyFill="0" applyBorder="0" applyAlignment="0" applyProtection="0"/>
    <xf numFmtId="233" fontId="7" fillId="0" borderId="0" applyFont="0" applyFill="0" applyBorder="0" applyAlignment="0" applyProtection="0"/>
    <xf numFmtId="0" fontId="77" fillId="0" borderId="0" applyNumberFormat="0" applyFill="0" applyBorder="0" applyAlignment="0" applyProtection="0"/>
    <xf numFmtId="234" fontId="47" fillId="0" borderId="0" applyFont="0" applyFill="0" applyBorder="0" applyAlignment="0" applyProtection="0"/>
    <xf numFmtId="235" fontId="47" fillId="0" borderId="0" applyFont="0" applyFill="0" applyBorder="0" applyAlignment="0" applyProtection="0"/>
    <xf numFmtId="236" fontId="47" fillId="0" borderId="0" applyFont="0" applyFill="0" applyBorder="0" applyAlignment="0" applyProtection="0"/>
    <xf numFmtId="237" fontId="47" fillId="0" borderId="0" applyFont="0" applyFill="0" applyBorder="0" applyAlignment="0" applyProtection="0"/>
    <xf numFmtId="238" fontId="47" fillId="0" borderId="0" applyFont="0" applyFill="0" applyBorder="0" applyAlignment="0" applyProtection="0"/>
    <xf numFmtId="239" fontId="47" fillId="0" borderId="0" applyFont="0" applyFill="0" applyBorder="0" applyAlignment="0" applyProtection="0"/>
    <xf numFmtId="240" fontId="47" fillId="0" borderId="0" applyFont="0" applyFill="0" applyBorder="0" applyAlignment="0" applyProtection="0"/>
    <xf numFmtId="241" fontId="47" fillId="0" borderId="0" applyFont="0" applyFill="0" applyBorder="0" applyAlignment="0" applyProtection="0"/>
    <xf numFmtId="0" fontId="8" fillId="0" borderId="0"/>
    <xf numFmtId="0" fontId="8" fillId="0" borderId="0"/>
    <xf numFmtId="0" fontId="8" fillId="0" borderId="0"/>
    <xf numFmtId="0" fontId="8" fillId="0" borderId="0"/>
    <xf numFmtId="43" fontId="13" fillId="0" borderId="0" applyFont="0" applyFill="0" applyBorder="0" applyAlignment="0" applyProtection="0"/>
    <xf numFmtId="43" fontId="8" fillId="0" borderId="0" applyFont="0" applyFill="0" applyBorder="0" applyAlignment="0" applyProtection="0"/>
    <xf numFmtId="0" fontId="1" fillId="0" borderId="0"/>
    <xf numFmtId="167" fontId="1" fillId="0" borderId="0" applyFont="0" applyFill="0" applyBorder="0" applyAlignment="0" applyProtection="0"/>
    <xf numFmtId="167"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0" fontId="15" fillId="0" borderId="0" applyNumberFormat="0" applyFill="0" applyBorder="0" applyAlignment="0" applyProtection="0"/>
    <xf numFmtId="0" fontId="16" fillId="0" borderId="1" applyNumberFormat="0" applyFill="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0" fontId="1" fillId="0" borderId="0"/>
    <xf numFmtId="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41" fillId="58" borderId="15" applyNumberFormat="0" applyAlignment="0" applyProtection="0"/>
    <xf numFmtId="167" fontId="8" fillId="0" borderId="0" applyFont="0" applyFill="0" applyBorder="0" applyAlignment="0" applyProtection="0"/>
    <xf numFmtId="199" fontId="51" fillId="0" borderId="17" applyFill="0" applyProtection="0"/>
    <xf numFmtId="211" fontId="51" fillId="0" borderId="17" applyFill="0" applyProtection="0"/>
    <xf numFmtId="0" fontId="63" fillId="46" borderId="15" applyNumberFormat="0" applyAlignment="0" applyProtection="0"/>
    <xf numFmtId="0" fontId="7" fillId="63" borderId="22" applyNumberFormat="0" applyFont="0" applyAlignment="0" applyProtection="0"/>
    <xf numFmtId="0" fontId="69" fillId="58" borderId="23" applyNumberFormat="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0" fontId="8" fillId="0" borderId="0"/>
    <xf numFmtId="167" fontId="8" fillId="0" borderId="0" applyFont="0" applyFill="0" applyBorder="0" applyAlignment="0" applyProtection="0"/>
    <xf numFmtId="0" fontId="8" fillId="0" borderId="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1"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3" fillId="0" borderId="0" applyFont="0" applyFill="0" applyBorder="0" applyAlignment="0" applyProtection="0"/>
    <xf numFmtId="0" fontId="15" fillId="0" borderId="0" applyNumberFormat="0" applyFill="0" applyBorder="0" applyAlignment="0" applyProtection="0"/>
    <xf numFmtId="0" fontId="16" fillId="0" borderId="1" applyNumberFormat="0" applyFill="0" applyAlignment="0" applyProtection="0"/>
    <xf numFmtId="0" fontId="2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7" fillId="0" borderId="2" applyNumberFormat="0" applyFill="0" applyAlignment="0" applyProtection="0"/>
    <xf numFmtId="0" fontId="18" fillId="0" borderId="3" applyNumberFormat="0" applyFill="0" applyAlignment="0" applyProtection="0"/>
    <xf numFmtId="41" fontId="8" fillId="0" borderId="0" applyFont="0" applyFill="0" applyBorder="0" applyAlignment="0" applyProtection="0"/>
    <xf numFmtId="0" fontId="1" fillId="0" borderId="0"/>
    <xf numFmtId="181" fontId="64" fillId="0" borderId="0"/>
    <xf numFmtId="0" fontId="1" fillId="0" borderId="0"/>
    <xf numFmtId="0" fontId="1" fillId="0" borderId="0"/>
    <xf numFmtId="0" fontId="1" fillId="0" borderId="0"/>
    <xf numFmtId="43" fontId="8" fillId="0" borderId="0" applyFont="0" applyFill="0" applyBorder="0" applyAlignment="0" applyProtection="0"/>
    <xf numFmtId="43" fontId="1" fillId="0" borderId="0" applyFont="0" applyFill="0" applyBorder="0" applyAlignment="0" applyProtection="0"/>
    <xf numFmtId="0" fontId="1" fillId="0" borderId="0"/>
    <xf numFmtId="43" fontId="8" fillId="0" borderId="0" applyFont="0" applyFill="0" applyBorder="0" applyAlignment="0" applyProtection="0"/>
    <xf numFmtId="43" fontId="8" fillId="0" borderId="0" applyFont="0" applyFill="0" applyBorder="0" applyAlignment="0" applyProtection="0"/>
    <xf numFmtId="0" fontId="78" fillId="0" borderId="0" applyAlignment="0">
      <alignment vertical="top" wrapText="1"/>
      <protection locked="0"/>
    </xf>
    <xf numFmtId="0" fontId="79"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41"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80" fillId="65" borderId="0" applyNumberFormat="0" applyBorder="0" applyAlignment="0" applyProtection="0"/>
    <xf numFmtId="0" fontId="81" fillId="0" borderId="25" applyNumberFormat="0" applyFill="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8" fillId="0" borderId="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43" fontId="1" fillId="0" borderId="0" applyFont="0" applyFill="0" applyBorder="0" applyAlignment="0" applyProtection="0"/>
    <xf numFmtId="43" fontId="1" fillId="0" borderId="0" applyFont="0" applyFill="0" applyBorder="0" applyAlignment="0" applyProtection="0"/>
    <xf numFmtId="0" fontId="81" fillId="0" borderId="25" applyNumberFormat="0" applyFill="0" applyAlignment="0" applyProtection="0"/>
    <xf numFmtId="43"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81" fillId="0" borderId="25" applyNumberFormat="0" applyFill="0" applyAlignment="0" applyProtection="0"/>
    <xf numFmtId="167" fontId="7" fillId="0" borderId="0" applyFon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167" fontId="8"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0" fontId="81" fillId="0" borderId="25" applyNumberFormat="0" applyFill="0" applyAlignment="0" applyProtection="0"/>
    <xf numFmtId="0" fontId="8" fillId="0" borderId="0"/>
    <xf numFmtId="167" fontId="8" fillId="0" borderId="0" applyFont="0" applyFill="0" applyBorder="0" applyAlignment="0" applyProtection="0"/>
    <xf numFmtId="0" fontId="8" fillId="0" borderId="0" applyNumberForma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 fillId="0" borderId="0"/>
    <xf numFmtId="167" fontId="8"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0" fontId="8" fillId="0" borderId="0"/>
    <xf numFmtId="167" fontId="8" fillId="0" borderId="0" applyFont="0" applyFill="0" applyBorder="0" applyAlignment="0" applyProtection="0"/>
    <xf numFmtId="0" fontId="8" fillId="0" borderId="0" applyNumberForma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2" fillId="0" borderId="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37" fontId="64" fillId="0" borderId="0"/>
    <xf numFmtId="165" fontId="83" fillId="0" borderId="0" applyFont="0" applyFill="0" applyBorder="0" applyAlignment="0" applyProtection="0"/>
    <xf numFmtId="9" fontId="83"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57" fillId="0" borderId="26" applyNumberFormat="0" applyAlignment="0" applyProtection="0">
      <alignment horizontal="left" vertical="center"/>
    </xf>
    <xf numFmtId="14" fontId="42" fillId="61" borderId="27">
      <alignment horizontal="center" vertical="center" wrapText="1"/>
    </xf>
    <xf numFmtId="0" fontId="62" fillId="0" borderId="28" applyNumberFormat="0" applyFill="0" applyAlignment="0" applyProtection="0"/>
    <xf numFmtId="41" fontId="1" fillId="0" borderId="0" applyFont="0" applyFill="0" applyBorder="0" applyAlignment="0" applyProtection="0"/>
    <xf numFmtId="41"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4" fontId="42" fillId="61" borderId="27">
      <alignment horizontal="center" vertical="center" wrapText="1"/>
    </xf>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1" fillId="10" borderId="0" applyNumberFormat="0" applyBorder="0" applyAlignment="0" applyProtection="0"/>
    <xf numFmtId="0" fontId="8" fillId="0" borderId="0"/>
    <xf numFmtId="0" fontId="13" fillId="0" borderId="0"/>
    <xf numFmtId="0" fontId="7" fillId="0" borderId="0"/>
    <xf numFmtId="0" fontId="8" fillId="0" borderId="0"/>
    <xf numFmtId="0" fontId="8" fillId="0" borderId="0"/>
    <xf numFmtId="231" fontId="55" fillId="0" borderId="0">
      <protection locked="0"/>
    </xf>
    <xf numFmtId="0" fontId="73" fillId="0" borderId="27">
      <alignment horizontal="center"/>
    </xf>
    <xf numFmtId="41" fontId="1" fillId="0" borderId="0" applyFont="0" applyFill="0" applyBorder="0" applyAlignment="0" applyProtection="0"/>
    <xf numFmtId="42" fontId="1" fillId="0" borderId="0" applyFont="0" applyFill="0" applyBorder="0" applyAlignment="0" applyProtection="0"/>
    <xf numFmtId="42" fontId="8" fillId="0" borderId="0" applyFont="0" applyFill="0" applyBorder="0" applyAlignment="0" applyProtection="0"/>
    <xf numFmtId="41" fontId="82" fillId="0" borderId="0" applyFont="0" applyFill="0" applyBorder="0" applyAlignment="0" applyProtection="0"/>
    <xf numFmtId="0" fontId="8" fillId="0" borderId="0"/>
    <xf numFmtId="41" fontId="1" fillId="0" borderId="0" applyFont="0" applyFill="0" applyBorder="0" applyAlignment="0" applyProtection="0"/>
    <xf numFmtId="41"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81" fillId="0" borderId="25" applyNumberFormat="0" applyFill="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1" fillId="0" borderId="25" applyNumberFormat="0" applyFill="0" applyAlignment="0" applyProtection="0"/>
    <xf numFmtId="43" fontId="1" fillId="0" borderId="0" applyFon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41" fontId="1" fillId="0" borderId="0" applyFont="0" applyFill="0" applyBorder="0" applyAlignment="0" applyProtection="0"/>
    <xf numFmtId="0" fontId="41" fillId="58" borderId="15" applyNumberFormat="0" applyAlignment="0" applyProtection="0"/>
    <xf numFmtId="0" fontId="41" fillId="58" borderId="15"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99" fontId="51" fillId="0" borderId="17" applyFill="0" applyProtection="0"/>
    <xf numFmtId="199" fontId="51" fillId="0" borderId="17" applyFill="0" applyProtection="0"/>
    <xf numFmtId="211" fontId="51" fillId="0" borderId="17" applyFill="0" applyProtection="0"/>
    <xf numFmtId="211" fontId="51" fillId="0" borderId="17" applyFill="0" applyProtection="0"/>
    <xf numFmtId="0" fontId="57" fillId="0" borderId="10" applyNumberFormat="0" applyAlignment="0" applyProtection="0">
      <alignment horizontal="left" vertical="center"/>
    </xf>
    <xf numFmtId="0" fontId="57" fillId="0" borderId="12">
      <alignment horizontal="left" vertical="center"/>
    </xf>
    <xf numFmtId="0" fontId="62" fillId="0" borderId="28" applyNumberFormat="0" applyFill="0" applyAlignment="0" applyProtection="0"/>
    <xf numFmtId="0" fontId="63" fillId="46" borderId="15" applyNumberFormat="0" applyAlignment="0" applyProtection="0"/>
    <xf numFmtId="0" fontId="63" fillId="46" borderId="15" applyNumberFormat="0" applyAlignment="0" applyProtection="0"/>
    <xf numFmtId="41" fontId="1"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63" fillId="46" borderId="15" applyNumberFormat="0" applyAlignment="0" applyProtection="0"/>
    <xf numFmtId="0" fontId="63" fillId="46" borderId="15" applyNumberFormat="0" applyAlignment="0" applyProtection="0"/>
    <xf numFmtId="0" fontId="57" fillId="0" borderId="12">
      <alignment horizontal="left" vertical="center"/>
    </xf>
    <xf numFmtId="211" fontId="51" fillId="0" borderId="17" applyFill="0" applyProtection="0"/>
    <xf numFmtId="211" fontId="51" fillId="0" borderId="17" applyFill="0" applyProtection="0"/>
    <xf numFmtId="199" fontId="51" fillId="0" borderId="17" applyFill="0" applyProtection="0"/>
    <xf numFmtId="199" fontId="51" fillId="0" borderId="17" applyFill="0" applyProtection="0"/>
    <xf numFmtId="0" fontId="41" fillId="58" borderId="15" applyNumberFormat="0" applyAlignment="0" applyProtection="0"/>
    <xf numFmtId="0" fontId="41" fillId="58" borderId="15" applyNumberFormat="0" applyAlignment="0" applyProtection="0"/>
    <xf numFmtId="0" fontId="7" fillId="63" borderId="22" applyNumberFormat="0" applyFont="0" applyAlignment="0" applyProtection="0"/>
    <xf numFmtId="0" fontId="7" fillId="63" borderId="22" applyNumberFormat="0" applyFont="0" applyAlignment="0" applyProtection="0"/>
    <xf numFmtId="0" fontId="69" fillId="58" borderId="23" applyNumberFormat="0" applyAlignment="0" applyProtection="0"/>
    <xf numFmtId="0" fontId="69" fillId="58" borderId="23" applyNumberFormat="0" applyAlignment="0" applyProtection="0"/>
    <xf numFmtId="43" fontId="1" fillId="0" borderId="0" applyFont="0" applyFill="0" applyBorder="0" applyAlignment="0" applyProtection="0"/>
    <xf numFmtId="0" fontId="73" fillId="0" borderId="19">
      <alignment horizontal="center"/>
    </xf>
    <xf numFmtId="41" fontId="1" fillId="0" borderId="0" applyFont="0" applyFill="0" applyBorder="0" applyAlignment="0" applyProtection="0"/>
    <xf numFmtId="42" fontId="1" fillId="0" borderId="0" applyFont="0" applyFill="0" applyBorder="0" applyAlignment="0" applyProtection="0"/>
    <xf numFmtId="42" fontId="8" fillId="0" borderId="0" applyFont="0" applyFill="0" applyBorder="0" applyAlignment="0" applyProtection="0"/>
    <xf numFmtId="41" fontId="82" fillId="0" borderId="0" applyFont="0" applyFill="0" applyBorder="0" applyAlignment="0" applyProtection="0"/>
    <xf numFmtId="41" fontId="1" fillId="0" borderId="0" applyFont="0" applyFill="0" applyBorder="0" applyAlignment="0" applyProtection="0"/>
    <xf numFmtId="0" fontId="7" fillId="63" borderId="22" applyNumberFormat="0" applyFont="0" applyAlignment="0" applyProtection="0"/>
    <xf numFmtId="0" fontId="7" fillId="63" borderId="22" applyNumberFormat="0" applyFont="0" applyAlignment="0" applyProtection="0"/>
    <xf numFmtId="0" fontId="69" fillId="58" borderId="23" applyNumberFormat="0" applyAlignment="0" applyProtection="0"/>
    <xf numFmtId="0" fontId="69" fillId="58" borderId="23" applyNumberFormat="0" applyAlignment="0" applyProtection="0"/>
    <xf numFmtId="0" fontId="41" fillId="58" borderId="15" applyNumberFormat="0" applyAlignment="0" applyProtection="0"/>
    <xf numFmtId="0" fontId="41" fillId="58" borderId="15"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99" fontId="51" fillId="0" borderId="17" applyFill="0" applyProtection="0"/>
    <xf numFmtId="199" fontId="51" fillId="0" borderId="17" applyFill="0" applyProtection="0"/>
    <xf numFmtId="211" fontId="51" fillId="0" borderId="17" applyFill="0" applyProtection="0"/>
    <xf numFmtId="211" fontId="51" fillId="0" borderId="17" applyFill="0" applyProtection="0"/>
    <xf numFmtId="0" fontId="57" fillId="0" borderId="10" applyNumberFormat="0" applyAlignment="0" applyProtection="0">
      <alignment horizontal="left" vertical="center"/>
    </xf>
    <xf numFmtId="0" fontId="57" fillId="0" borderId="12">
      <alignment horizontal="left" vertical="center"/>
    </xf>
    <xf numFmtId="0" fontId="62" fillId="0" borderId="28" applyNumberFormat="0" applyFill="0" applyAlignment="0" applyProtection="0"/>
    <xf numFmtId="0" fontId="63" fillId="46" borderId="15" applyNumberFormat="0" applyAlignment="0" applyProtection="0"/>
    <xf numFmtId="0" fontId="63" fillId="46" borderId="15" applyNumberFormat="0" applyAlignment="0" applyProtection="0"/>
    <xf numFmtId="41" fontId="1" fillId="0" borderId="0" applyFont="0" applyFill="0" applyBorder="0" applyAlignment="0" applyProtection="0"/>
    <xf numFmtId="41" fontId="1" fillId="0" borderId="0" applyFont="0" applyFill="0" applyBorder="0" applyAlignment="0" applyProtection="0"/>
    <xf numFmtId="41" fontId="8" fillId="0" borderId="0" applyFont="0" applyFill="0" applyBorder="0" applyAlignment="0" applyProtection="0"/>
    <xf numFmtId="41" fontId="1" fillId="0" borderId="0" applyFont="0" applyFill="0" applyBorder="0" applyAlignment="0" applyProtection="0"/>
    <xf numFmtId="41" fontId="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8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2" fontId="8" fillId="0" borderId="0" applyFont="0" applyFill="0" applyBorder="0" applyAlignment="0" applyProtection="0"/>
    <xf numFmtId="42" fontId="1" fillId="0" borderId="0" applyFont="0" applyFill="0" applyBorder="0" applyAlignment="0" applyProtection="0"/>
    <xf numFmtId="0" fontId="57" fillId="0" borderId="26" applyNumberFormat="0" applyAlignment="0" applyProtection="0">
      <alignment horizontal="left" vertical="center"/>
    </xf>
    <xf numFmtId="0" fontId="73" fillId="0" borderId="27">
      <alignment horizontal="center"/>
    </xf>
    <xf numFmtId="0" fontId="57" fillId="0" borderId="26" applyNumberFormat="0" applyAlignment="0" applyProtection="0">
      <alignment horizontal="left" vertical="center"/>
    </xf>
    <xf numFmtId="41"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1" fontId="1" fillId="0" borderId="0" applyFont="0" applyFill="0" applyBorder="0" applyAlignment="0" applyProtection="0"/>
    <xf numFmtId="43" fontId="8" fillId="0" borderId="0" applyFont="0" applyFill="0" applyBorder="0" applyAlignment="0" applyProtection="0"/>
    <xf numFmtId="41" fontId="1" fillId="0" borderId="0" applyFont="0" applyFill="0" applyBorder="0" applyAlignment="0" applyProtection="0"/>
    <xf numFmtId="0" fontId="57" fillId="0" borderId="32" applyNumberFormat="0" applyAlignment="0" applyProtection="0">
      <alignment horizontal="left" vertical="center"/>
    </xf>
    <xf numFmtId="43" fontId="13" fillId="0" borderId="0" applyFont="0" applyFill="0" applyBorder="0" applyAlignment="0" applyProtection="0"/>
    <xf numFmtId="0" fontId="57" fillId="0" borderId="32" applyNumberFormat="0" applyAlignment="0" applyProtection="0">
      <alignment horizontal="left" vertical="center"/>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57" fillId="0" borderId="29" applyNumberFormat="0" applyAlignment="0" applyProtection="0">
      <alignment horizontal="left" vertical="center"/>
    </xf>
    <xf numFmtId="14" fontId="42" fillId="61" borderId="30">
      <alignment horizontal="center" vertical="center" wrapText="1"/>
    </xf>
    <xf numFmtId="0" fontId="62" fillId="0" borderId="31" applyNumberFormat="0" applyFill="0" applyAlignment="0" applyProtection="0"/>
    <xf numFmtId="41" fontId="1" fillId="0" borderId="0" applyFont="0" applyFill="0" applyBorder="0" applyAlignment="0" applyProtection="0"/>
    <xf numFmtId="41" fontId="1" fillId="0" borderId="0" applyFont="0" applyFill="0" applyBorder="0" applyAlignment="0" applyProtection="0"/>
    <xf numFmtId="0" fontId="57" fillId="0" borderId="32" applyNumberFormat="0" applyAlignment="0" applyProtection="0">
      <alignment horizontal="left" vertical="center"/>
    </xf>
    <xf numFmtId="14" fontId="42" fillId="61" borderId="30">
      <alignment horizontal="center" vertical="center" wrapText="1"/>
    </xf>
    <xf numFmtId="0" fontId="57" fillId="0" borderId="33" applyNumberFormat="0" applyAlignment="0" applyProtection="0">
      <alignment horizontal="left" vertical="center"/>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57" fillId="0" borderId="34" applyNumberFormat="0" applyAlignment="0" applyProtection="0">
      <alignment horizontal="left" vertical="center"/>
    </xf>
    <xf numFmtId="14" fontId="42" fillId="61" borderId="30">
      <alignment horizontal="center" vertical="center" wrapText="1"/>
    </xf>
    <xf numFmtId="14" fontId="42" fillId="61" borderId="30">
      <alignment horizontal="center" vertical="center" wrapText="1"/>
    </xf>
    <xf numFmtId="0" fontId="57" fillId="0" borderId="33" applyNumberFormat="0" applyAlignment="0" applyProtection="0">
      <alignment horizontal="left" vertical="center"/>
    </xf>
    <xf numFmtId="0" fontId="73" fillId="0" borderId="30">
      <alignment horizontal="center"/>
    </xf>
    <xf numFmtId="41" fontId="1" fillId="0" borderId="0" applyFont="0" applyFill="0" applyBorder="0" applyAlignment="0" applyProtection="0"/>
    <xf numFmtId="42" fontId="1" fillId="0" borderId="0" applyFont="0" applyFill="0" applyBorder="0" applyAlignment="0" applyProtection="0"/>
    <xf numFmtId="42" fontId="8" fillId="0" borderId="0" applyFont="0" applyFill="0" applyBorder="0" applyAlignment="0" applyProtection="0"/>
    <xf numFmtId="41" fontId="82" fillId="0" borderId="0" applyFont="0" applyFill="0" applyBorder="0" applyAlignment="0" applyProtection="0"/>
    <xf numFmtId="41" fontId="1" fillId="0" borderId="0" applyFont="0" applyFill="0" applyBorder="0" applyAlignment="0" applyProtection="0"/>
    <xf numFmtId="41"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33" applyNumberFormat="0" applyAlignment="0" applyProtection="0">
      <alignment horizontal="left" vertical="center"/>
    </xf>
    <xf numFmtId="41"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62" fillId="0" borderId="31" applyNumberFormat="0" applyFill="0" applyAlignment="0" applyProtection="0"/>
    <xf numFmtId="41" fontId="1"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8" fillId="0" borderId="0" applyFont="0" applyFill="0" applyBorder="0" applyAlignment="0" applyProtection="0"/>
    <xf numFmtId="41" fontId="82"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62" fillId="0" borderId="31" applyNumberFormat="0" applyFill="0" applyAlignment="0" applyProtection="0"/>
    <xf numFmtId="41" fontId="1" fillId="0" borderId="0" applyFont="0" applyFill="0" applyBorder="0" applyAlignment="0" applyProtection="0"/>
    <xf numFmtId="41" fontId="1" fillId="0" borderId="0" applyFont="0" applyFill="0" applyBorder="0" applyAlignment="0" applyProtection="0"/>
    <xf numFmtId="41" fontId="8" fillId="0" borderId="0" applyFont="0" applyFill="0" applyBorder="0" applyAlignment="0" applyProtection="0"/>
    <xf numFmtId="41" fontId="1" fillId="0" borderId="0" applyFont="0" applyFill="0" applyBorder="0" applyAlignment="0" applyProtection="0"/>
    <xf numFmtId="41" fontId="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8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2" fontId="8" fillId="0" borderId="0" applyFont="0" applyFill="0" applyBorder="0" applyAlignment="0" applyProtection="0"/>
    <xf numFmtId="42" fontId="1" fillId="0" borderId="0" applyFont="0" applyFill="0" applyBorder="0" applyAlignment="0" applyProtection="0"/>
    <xf numFmtId="0" fontId="57" fillId="0" borderId="29" applyNumberFormat="0" applyAlignment="0" applyProtection="0">
      <alignment horizontal="left" vertical="center"/>
    </xf>
    <xf numFmtId="0" fontId="73" fillId="0" borderId="30">
      <alignment horizontal="center"/>
    </xf>
    <xf numFmtId="0" fontId="57" fillId="0" borderId="29" applyNumberFormat="0" applyAlignment="0" applyProtection="0">
      <alignment horizontal="left" vertical="center"/>
    </xf>
  </cellStyleXfs>
  <cellXfs count="146">
    <xf numFmtId="0" fontId="0" fillId="0" borderId="0" xfId="0"/>
    <xf numFmtId="0" fontId="2" fillId="3" borderId="0" xfId="0" applyFont="1" applyFill="1"/>
    <xf numFmtId="0" fontId="4" fillId="5" borderId="0" xfId="0" applyFont="1" applyFill="1" applyAlignment="1">
      <alignment horizontal="left"/>
    </xf>
    <xf numFmtId="0" fontId="4" fillId="4" borderId="0" xfId="0" applyFont="1" applyFill="1"/>
    <xf numFmtId="17" fontId="2" fillId="2" borderId="0" xfId="0" applyNumberFormat="1" applyFont="1" applyFill="1"/>
    <xf numFmtId="0" fontId="2" fillId="2" borderId="0" xfId="0" applyFont="1" applyFill="1"/>
    <xf numFmtId="0" fontId="4" fillId="5" borderId="0" xfId="0" applyFont="1" applyFill="1"/>
    <xf numFmtId="168" fontId="2" fillId="2" borderId="0" xfId="0" applyNumberFormat="1" applyFont="1" applyFill="1"/>
    <xf numFmtId="169" fontId="2" fillId="2" borderId="0" xfId="0" applyNumberFormat="1" applyFont="1" applyFill="1" applyAlignment="1">
      <alignment horizontal="right" vertical="center"/>
    </xf>
    <xf numFmtId="169" fontId="4" fillId="5" borderId="0" xfId="0" applyNumberFormat="1" applyFont="1" applyFill="1"/>
    <xf numFmtId="168" fontId="4" fillId="4" borderId="0" xfId="0" applyNumberFormat="1" applyFont="1" applyFill="1"/>
    <xf numFmtId="0" fontId="5" fillId="6" borderId="0" xfId="0" applyFont="1" applyFill="1"/>
    <xf numFmtId="0" fontId="2" fillId="6" borderId="0" xfId="0" applyFont="1" applyFill="1"/>
    <xf numFmtId="170" fontId="2" fillId="2" borderId="0" xfId="1" applyNumberFormat="1" applyFont="1" applyFill="1"/>
    <xf numFmtId="170" fontId="2" fillId="3" borderId="0" xfId="1" applyNumberFormat="1" applyFont="1" applyFill="1"/>
    <xf numFmtId="170" fontId="4" fillId="5" borderId="0" xfId="1" applyNumberFormat="1" applyFont="1" applyFill="1"/>
    <xf numFmtId="169" fontId="4" fillId="4" borderId="0" xfId="0" applyNumberFormat="1" applyFont="1" applyFill="1"/>
    <xf numFmtId="168" fontId="2" fillId="2" borderId="0" xfId="1" applyNumberFormat="1" applyFont="1" applyFill="1" applyBorder="1" applyAlignment="1">
      <alignment horizontal="right" vertical="center"/>
    </xf>
    <xf numFmtId="168" fontId="4" fillId="5" borderId="0" xfId="1" applyNumberFormat="1" applyFont="1" applyFill="1"/>
    <xf numFmtId="0" fontId="6" fillId="7" borderId="0" xfId="0" applyFont="1" applyFill="1"/>
    <xf numFmtId="169" fontId="6" fillId="7" borderId="0" xfId="0" applyNumberFormat="1" applyFont="1" applyFill="1" applyAlignment="1">
      <alignment horizontal="right" vertical="center"/>
    </xf>
    <xf numFmtId="168" fontId="2" fillId="3" borderId="0" xfId="1" applyNumberFormat="1" applyFont="1" applyFill="1"/>
    <xf numFmtId="168" fontId="6" fillId="7" borderId="0" xfId="1" applyNumberFormat="1" applyFont="1" applyFill="1" applyBorder="1" applyAlignment="1">
      <alignment horizontal="right" vertical="center"/>
    </xf>
    <xf numFmtId="171" fontId="4" fillId="5" borderId="0" xfId="0" applyNumberFormat="1" applyFont="1" applyFill="1"/>
    <xf numFmtId="171" fontId="2" fillId="2" borderId="0" xfId="0" applyNumberFormat="1" applyFont="1" applyFill="1" applyAlignment="1">
      <alignment horizontal="right" vertical="center"/>
    </xf>
    <xf numFmtId="171" fontId="2" fillId="3" borderId="0" xfId="0" applyNumberFormat="1" applyFont="1" applyFill="1"/>
    <xf numFmtId="171" fontId="6" fillId="7" borderId="0" xfId="0" applyNumberFormat="1" applyFont="1" applyFill="1" applyAlignment="1">
      <alignment horizontal="right" vertical="center"/>
    </xf>
    <xf numFmtId="0" fontId="6" fillId="2" borderId="0" xfId="0" applyFont="1" applyFill="1"/>
    <xf numFmtId="171" fontId="6" fillId="2" borderId="0" xfId="0" applyNumberFormat="1" applyFont="1" applyFill="1" applyAlignment="1">
      <alignment horizontal="right" vertical="center"/>
    </xf>
    <xf numFmtId="1" fontId="2" fillId="2" borderId="0" xfId="0" applyNumberFormat="1" applyFont="1" applyFill="1" applyAlignment="1">
      <alignment horizontal="right" vertical="center"/>
    </xf>
    <xf numFmtId="1" fontId="6" fillId="2" borderId="0" xfId="0" applyNumberFormat="1" applyFont="1" applyFill="1" applyAlignment="1">
      <alignment horizontal="right" vertical="center"/>
    </xf>
    <xf numFmtId="168" fontId="4" fillId="5" borderId="0" xfId="0" applyNumberFormat="1" applyFont="1" applyFill="1"/>
    <xf numFmtId="168" fontId="2" fillId="3" borderId="0" xfId="0" applyNumberFormat="1" applyFont="1" applyFill="1"/>
    <xf numFmtId="168" fontId="2" fillId="2" borderId="0" xfId="0" applyNumberFormat="1" applyFont="1" applyFill="1" applyAlignment="1">
      <alignment horizontal="right" vertical="center"/>
    </xf>
    <xf numFmtId="168" fontId="6" fillId="7" borderId="0" xfId="0" applyNumberFormat="1" applyFont="1" applyFill="1" applyAlignment="1">
      <alignment horizontal="right" vertical="center"/>
    </xf>
    <xf numFmtId="172" fontId="2" fillId="2" borderId="0" xfId="2" applyNumberFormat="1" applyFont="1" applyFill="1"/>
    <xf numFmtId="172" fontId="2" fillId="2" borderId="0" xfId="2" applyNumberFormat="1" applyFont="1" applyFill="1" applyBorder="1" applyAlignment="1">
      <alignment horizontal="right" vertical="center"/>
    </xf>
    <xf numFmtId="172" fontId="4" fillId="5" borderId="0" xfId="2" applyNumberFormat="1" applyFont="1" applyFill="1"/>
    <xf numFmtId="172" fontId="2" fillId="3" borderId="0" xfId="0" applyNumberFormat="1" applyFont="1" applyFill="1"/>
    <xf numFmtId="172" fontId="2" fillId="3" borderId="0" xfId="2" applyNumberFormat="1" applyFont="1" applyFill="1"/>
    <xf numFmtId="0" fontId="4" fillId="3" borderId="0" xfId="0" applyFont="1" applyFill="1" applyAlignment="1">
      <alignment horizontal="left"/>
    </xf>
    <xf numFmtId="169" fontId="4" fillId="3" borderId="0" xfId="0" applyNumberFormat="1" applyFont="1" applyFill="1"/>
    <xf numFmtId="172" fontId="4" fillId="3" borderId="0" xfId="2" applyNumberFormat="1" applyFont="1" applyFill="1"/>
    <xf numFmtId="169" fontId="2" fillId="2" borderId="0" xfId="0" applyNumberFormat="1" applyFont="1" applyFill="1"/>
    <xf numFmtId="172" fontId="2" fillId="2" borderId="0" xfId="0" applyNumberFormat="1" applyFont="1" applyFill="1" applyAlignment="1">
      <alignment horizontal="right" vertical="center"/>
    </xf>
    <xf numFmtId="0" fontId="9" fillId="3" borderId="0" xfId="0" applyFont="1" applyFill="1"/>
    <xf numFmtId="43" fontId="2" fillId="3" borderId="0" xfId="0" applyNumberFormat="1" applyFont="1" applyFill="1"/>
    <xf numFmtId="172" fontId="2" fillId="2" borderId="0" xfId="2" applyNumberFormat="1" applyFont="1" applyFill="1" applyAlignment="1">
      <alignment horizontal="right"/>
    </xf>
    <xf numFmtId="172" fontId="4" fillId="4" borderId="0" xfId="2" applyNumberFormat="1" applyFont="1" applyFill="1" applyAlignment="1">
      <alignment horizontal="right"/>
    </xf>
    <xf numFmtId="173" fontId="2" fillId="3" borderId="0" xfId="0" applyNumberFormat="1" applyFont="1" applyFill="1"/>
    <xf numFmtId="169" fontId="2" fillId="3" borderId="0" xfId="0" applyNumberFormat="1" applyFont="1" applyFill="1"/>
    <xf numFmtId="174" fontId="2" fillId="3" borderId="0" xfId="0" applyNumberFormat="1" applyFont="1" applyFill="1"/>
    <xf numFmtId="9" fontId="2" fillId="3" borderId="0" xfId="2" applyFont="1" applyFill="1"/>
    <xf numFmtId="172" fontId="6" fillId="7" borderId="0" xfId="2" applyNumberFormat="1" applyFont="1" applyFill="1" applyAlignment="1">
      <alignment horizontal="right"/>
    </xf>
    <xf numFmtId="41" fontId="2" fillId="2" borderId="0" xfId="1" applyFont="1" applyFill="1"/>
    <xf numFmtId="0" fontId="2" fillId="3" borderId="0" xfId="0" applyFont="1" applyFill="1" applyAlignment="1">
      <alignment horizontal="center"/>
    </xf>
    <xf numFmtId="0" fontId="10" fillId="3" borderId="0" xfId="0" applyFont="1" applyFill="1"/>
    <xf numFmtId="3" fontId="2" fillId="2" borderId="0" xfId="0" applyNumberFormat="1" applyFont="1" applyFill="1" applyAlignment="1">
      <alignment horizontal="right" vertical="center"/>
    </xf>
    <xf numFmtId="175" fontId="2" fillId="2" borderId="0" xfId="0" applyNumberFormat="1" applyFont="1" applyFill="1"/>
    <xf numFmtId="0" fontId="4" fillId="4" borderId="0" xfId="0" applyFont="1" applyFill="1" applyAlignment="1">
      <alignment horizontal="center" vertical="center"/>
    </xf>
    <xf numFmtId="171" fontId="2" fillId="2" borderId="0" xfId="8" applyNumberFormat="1" applyFont="1" applyFill="1" applyBorder="1" applyAlignment="1">
      <alignment horizontal="center" vertical="center"/>
    </xf>
    <xf numFmtId="169" fontId="2" fillId="3" borderId="0" xfId="8" applyNumberFormat="1" applyFont="1" applyFill="1"/>
    <xf numFmtId="177" fontId="2" fillId="2" borderId="0" xfId="0" applyNumberFormat="1" applyFont="1" applyFill="1"/>
    <xf numFmtId="169" fontId="2" fillId="2" borderId="0" xfId="0" applyNumberFormat="1" applyFont="1" applyFill="1" applyAlignment="1">
      <alignment horizontal="right"/>
    </xf>
    <xf numFmtId="172" fontId="2" fillId="3" borderId="0" xfId="0" applyNumberFormat="1" applyFont="1" applyFill="1" applyAlignment="1">
      <alignment horizontal="center"/>
    </xf>
    <xf numFmtId="178" fontId="2" fillId="3" borderId="0" xfId="0" applyNumberFormat="1" applyFont="1" applyFill="1"/>
    <xf numFmtId="172" fontId="4" fillId="5" borderId="0" xfId="2" applyNumberFormat="1" applyFont="1" applyFill="1" applyAlignment="1">
      <alignment horizontal="right"/>
    </xf>
    <xf numFmtId="179" fontId="11" fillId="2" borderId="0" xfId="7" applyNumberFormat="1" applyFont="1" applyFill="1"/>
    <xf numFmtId="41" fontId="11" fillId="2" borderId="0" xfId="1" applyFont="1" applyFill="1"/>
    <xf numFmtId="41" fontId="2" fillId="3" borderId="0" xfId="1" applyFont="1" applyFill="1"/>
    <xf numFmtId="172" fontId="2" fillId="3" borderId="0" xfId="0" applyNumberFormat="1" applyFont="1" applyFill="1" applyAlignment="1">
      <alignment horizontal="right"/>
    </xf>
    <xf numFmtId="0" fontId="2" fillId="3" borderId="0" xfId="0" applyFont="1" applyFill="1" applyAlignment="1">
      <alignment horizontal="center" wrapText="1"/>
    </xf>
    <xf numFmtId="3" fontId="4" fillId="5" borderId="0" xfId="0" applyNumberFormat="1" applyFont="1" applyFill="1"/>
    <xf numFmtId="169" fontId="4" fillId="5" borderId="0" xfId="0" applyNumberFormat="1" applyFont="1" applyFill="1" applyAlignment="1">
      <alignment vertical="center"/>
    </xf>
    <xf numFmtId="177" fontId="2" fillId="2" borderId="0" xfId="0" applyNumberFormat="1" applyFont="1" applyFill="1" applyAlignment="1">
      <alignment vertical="center"/>
    </xf>
    <xf numFmtId="0" fontId="2" fillId="3" borderId="0" xfId="0" applyFont="1" applyFill="1" applyAlignment="1">
      <alignment vertical="center"/>
    </xf>
    <xf numFmtId="169" fontId="2" fillId="2" borderId="0" xfId="0" applyNumberFormat="1" applyFont="1" applyFill="1" applyAlignment="1">
      <alignment vertical="center"/>
    </xf>
    <xf numFmtId="0" fontId="2" fillId="3" borderId="0" xfId="0" applyFont="1" applyFill="1" applyAlignment="1">
      <alignment horizontal="left"/>
    </xf>
    <xf numFmtId="168" fontId="2" fillId="2" borderId="0" xfId="0" applyNumberFormat="1" applyFont="1" applyFill="1" applyAlignment="1">
      <alignment vertical="center"/>
    </xf>
    <xf numFmtId="170" fontId="2" fillId="0" borderId="0" xfId="1" applyNumberFormat="1" applyFont="1" applyFill="1"/>
    <xf numFmtId="0" fontId="2" fillId="3" borderId="0" xfId="0" applyFont="1" applyFill="1" applyAlignment="1">
      <alignment horizontal="right"/>
    </xf>
    <xf numFmtId="9" fontId="2" fillId="3" borderId="0" xfId="2" applyFont="1" applyFill="1" applyAlignment="1">
      <alignment horizontal="center" wrapText="1"/>
    </xf>
    <xf numFmtId="0" fontId="2" fillId="3" borderId="0" xfId="2" applyNumberFormat="1" applyFont="1" applyFill="1"/>
    <xf numFmtId="171" fontId="6" fillId="7" borderId="0" xfId="0" applyNumberFormat="1" applyFont="1" applyFill="1" applyAlignment="1">
      <alignment horizontal="left" vertical="center"/>
    </xf>
    <xf numFmtId="41" fontId="4" fillId="5" borderId="0" xfId="0" applyNumberFormat="1" applyFont="1" applyFill="1"/>
    <xf numFmtId="0" fontId="4" fillId="4" borderId="0" xfId="0" applyFont="1" applyFill="1" applyAlignment="1">
      <alignment horizontal="left" vertical="center"/>
    </xf>
    <xf numFmtId="170" fontId="2" fillId="2" borderId="0" xfId="1" applyNumberFormat="1" applyFont="1" applyFill="1" applyAlignment="1">
      <alignment horizontal="left"/>
    </xf>
    <xf numFmtId="175" fontId="2" fillId="2" borderId="0" xfId="0" applyNumberFormat="1" applyFont="1" applyFill="1" applyAlignment="1">
      <alignment horizontal="right"/>
    </xf>
    <xf numFmtId="41" fontId="2" fillId="3" borderId="0" xfId="0" applyNumberFormat="1" applyFont="1" applyFill="1"/>
    <xf numFmtId="9" fontId="2" fillId="3" borderId="0" xfId="2" applyFont="1" applyFill="1" applyAlignment="1">
      <alignment horizontal="right"/>
    </xf>
    <xf numFmtId="170" fontId="2" fillId="2" borderId="0" xfId="1" applyNumberFormat="1" applyFont="1" applyFill="1" applyBorder="1"/>
    <xf numFmtId="9" fontId="2" fillId="3" borderId="0" xfId="0" applyNumberFormat="1" applyFont="1" applyFill="1"/>
    <xf numFmtId="168" fontId="2" fillId="3" borderId="0" xfId="0" applyNumberFormat="1" applyFont="1" applyFill="1" applyAlignment="1">
      <alignment horizontal="right"/>
    </xf>
    <xf numFmtId="169" fontId="4" fillId="3" borderId="0" xfId="0" applyNumberFormat="1" applyFont="1" applyFill="1" applyAlignment="1">
      <alignment horizontal="right"/>
    </xf>
    <xf numFmtId="0" fontId="10" fillId="3" borderId="0" xfId="0" applyFont="1" applyFill="1" applyAlignment="1">
      <alignment horizontal="center" wrapText="1"/>
    </xf>
    <xf numFmtId="242" fontId="2" fillId="3" borderId="0" xfId="0" applyNumberFormat="1" applyFont="1" applyFill="1"/>
    <xf numFmtId="172" fontId="6" fillId="2" borderId="0" xfId="2" applyNumberFormat="1" applyFont="1" applyFill="1" applyAlignment="1">
      <alignment horizontal="right"/>
    </xf>
    <xf numFmtId="171" fontId="2" fillId="3" borderId="0" xfId="8" applyNumberFormat="1" applyFont="1" applyFill="1" applyAlignment="1">
      <alignment horizontal="right" vertical="center"/>
    </xf>
    <xf numFmtId="243" fontId="2" fillId="3" borderId="0" xfId="0" applyNumberFormat="1" applyFont="1" applyFill="1"/>
    <xf numFmtId="171" fontId="6" fillId="0" borderId="0" xfId="0" applyNumberFormat="1" applyFont="1" applyAlignment="1">
      <alignment horizontal="right" vertical="center"/>
    </xf>
    <xf numFmtId="0" fontId="84" fillId="4" borderId="0" xfId="0" applyFont="1" applyFill="1"/>
    <xf numFmtId="0" fontId="84" fillId="4" borderId="0" xfId="0" applyFont="1" applyFill="1" applyAlignment="1">
      <alignment horizontal="center" vertical="center"/>
    </xf>
    <xf numFmtId="0" fontId="84" fillId="5" borderId="0" xfId="0" applyFont="1" applyFill="1" applyAlignment="1">
      <alignment horizontal="left"/>
    </xf>
    <xf numFmtId="169" fontId="84" fillId="5" borderId="0" xfId="0" applyNumberFormat="1" applyFont="1" applyFill="1"/>
    <xf numFmtId="172" fontId="84" fillId="5" borderId="0" xfId="2" applyNumberFormat="1" applyFont="1" applyFill="1"/>
    <xf numFmtId="169" fontId="84" fillId="5" borderId="0" xfId="0" applyNumberFormat="1" applyFont="1" applyFill="1" applyAlignment="1">
      <alignment horizontal="right"/>
    </xf>
    <xf numFmtId="172" fontId="84" fillId="5" borderId="0" xfId="2" applyNumberFormat="1" applyFont="1" applyFill="1" applyAlignment="1">
      <alignment horizontal="right" vertical="center"/>
    </xf>
    <xf numFmtId="172" fontId="84" fillId="5" borderId="0" xfId="2" applyNumberFormat="1" applyFont="1" applyFill="1" applyAlignment="1">
      <alignment horizontal="right"/>
    </xf>
    <xf numFmtId="168" fontId="84" fillId="5" borderId="0" xfId="0" applyNumberFormat="1" applyFont="1" applyFill="1"/>
    <xf numFmtId="0" fontId="84" fillId="3" borderId="0" xfId="0" applyFont="1" applyFill="1" applyAlignment="1">
      <alignment horizontal="left"/>
    </xf>
    <xf numFmtId="169" fontId="84" fillId="3" borderId="0" xfId="0" applyNumberFormat="1" applyFont="1" applyFill="1"/>
    <xf numFmtId="168" fontId="84" fillId="3" borderId="0" xfId="0" applyNumberFormat="1" applyFont="1" applyFill="1"/>
    <xf numFmtId="0" fontId="84" fillId="5" borderId="0" xfId="0" applyFont="1" applyFill="1"/>
    <xf numFmtId="3" fontId="4" fillId="5" borderId="0" xfId="0" applyNumberFormat="1" applyFont="1" applyFill="1" applyAlignment="1">
      <alignment horizontal="right"/>
    </xf>
    <xf numFmtId="171" fontId="4" fillId="5" borderId="0" xfId="0" applyNumberFormat="1" applyFont="1" applyFill="1" applyAlignment="1">
      <alignment horizontal="right"/>
    </xf>
    <xf numFmtId="9" fontId="2" fillId="2" borderId="0" xfId="2" applyFont="1" applyFill="1" applyAlignment="1">
      <alignment horizontal="right" vertical="center"/>
    </xf>
    <xf numFmtId="9" fontId="2" fillId="2" borderId="0" xfId="2" applyFont="1" applyFill="1" applyBorder="1" applyAlignment="1">
      <alignment horizontal="right" vertical="center"/>
    </xf>
    <xf numFmtId="9" fontId="6" fillId="7" borderId="0" xfId="2" applyFont="1" applyFill="1" applyAlignment="1">
      <alignment horizontal="right" vertical="center"/>
    </xf>
    <xf numFmtId="170" fontId="2" fillId="2" borderId="0" xfId="1" applyNumberFormat="1" applyFont="1" applyFill="1" applyAlignment="1">
      <alignment horizontal="right"/>
    </xf>
    <xf numFmtId="41" fontId="2" fillId="2" borderId="0" xfId="1" applyFont="1" applyFill="1" applyAlignment="1">
      <alignment horizontal="right"/>
    </xf>
    <xf numFmtId="0" fontId="4" fillId="4" borderId="0" xfId="0" applyFont="1" applyFill="1" applyAlignment="1">
      <alignment horizontal="right" vertical="center"/>
    </xf>
    <xf numFmtId="41" fontId="2" fillId="3" borderId="0" xfId="2" applyNumberFormat="1" applyFont="1" applyFill="1"/>
    <xf numFmtId="41" fontId="84" fillId="5" borderId="0" xfId="0" applyNumberFormat="1" applyFont="1" applyFill="1"/>
    <xf numFmtId="41" fontId="2" fillId="0" borderId="0" xfId="1" applyFont="1" applyFill="1"/>
    <xf numFmtId="41" fontId="2" fillId="2" borderId="0" xfId="1" applyFont="1" applyFill="1" applyBorder="1"/>
    <xf numFmtId="244" fontId="2" fillId="3" borderId="0" xfId="0" applyNumberFormat="1" applyFont="1" applyFill="1"/>
    <xf numFmtId="41" fontId="4" fillId="4" borderId="0" xfId="0" applyNumberFormat="1" applyFont="1" applyFill="1" applyAlignment="1">
      <alignment horizontal="center" vertical="center"/>
    </xf>
    <xf numFmtId="170" fontId="2" fillId="2" borderId="0" xfId="1" applyNumberFormat="1" applyFont="1" applyFill="1" applyAlignment="1">
      <alignment horizontal="center"/>
    </xf>
    <xf numFmtId="9" fontId="4" fillId="5" borderId="0" xfId="0" applyNumberFormat="1" applyFont="1" applyFill="1" applyAlignment="1">
      <alignment horizontal="center"/>
    </xf>
    <xf numFmtId="0" fontId="4" fillId="5" borderId="0" xfId="0" applyFont="1" applyFill="1" applyAlignment="1">
      <alignment horizontal="center"/>
    </xf>
    <xf numFmtId="9" fontId="4" fillId="4" borderId="0" xfId="0" applyNumberFormat="1" applyFont="1" applyFill="1" applyAlignment="1">
      <alignment horizontal="center" vertical="center"/>
    </xf>
    <xf numFmtId="41" fontId="2" fillId="2" borderId="0" xfId="1" applyFont="1" applyFill="1" applyAlignment="1"/>
    <xf numFmtId="41" fontId="4" fillId="4" borderId="0" xfId="0" applyNumberFormat="1" applyFont="1" applyFill="1" applyAlignment="1">
      <alignment vertical="center"/>
    </xf>
    <xf numFmtId="41" fontId="2" fillId="6" borderId="0" xfId="0" applyNumberFormat="1" applyFont="1" applyFill="1"/>
    <xf numFmtId="3" fontId="85" fillId="66" borderId="0" xfId="0" applyNumberFormat="1" applyFont="1" applyFill="1" applyAlignment="1">
      <alignment horizontal="right"/>
    </xf>
    <xf numFmtId="0" fontId="85" fillId="66" borderId="0" xfId="0" applyFont="1" applyFill="1" applyAlignment="1">
      <alignment horizontal="right"/>
    </xf>
    <xf numFmtId="0" fontId="4" fillId="4" borderId="0" xfId="0" applyFont="1" applyFill="1" applyAlignment="1">
      <alignment vertical="center"/>
    </xf>
    <xf numFmtId="41" fontId="4" fillId="4" borderId="0" xfId="0" applyNumberFormat="1" applyFont="1" applyFill="1" applyAlignment="1">
      <alignment vertical="center"/>
    </xf>
    <xf numFmtId="41" fontId="4" fillId="4" borderId="0" xfId="0" applyNumberFormat="1" applyFont="1" applyFill="1" applyAlignment="1">
      <alignment horizontal="center" vertical="center"/>
    </xf>
    <xf numFmtId="0" fontId="4" fillId="4" borderId="0" xfId="0" applyFont="1" applyFill="1" applyAlignment="1">
      <alignment horizontal="center" vertical="center"/>
    </xf>
    <xf numFmtId="0" fontId="2" fillId="3" borderId="0" xfId="0" applyFont="1" applyFill="1" applyAlignment="1">
      <alignment horizontal="left" vertical="top" wrapText="1"/>
    </xf>
    <xf numFmtId="0" fontId="84" fillId="4" borderId="0" xfId="0" applyFont="1" applyFill="1" applyAlignment="1">
      <alignment horizontal="center" vertical="center"/>
    </xf>
    <xf numFmtId="0" fontId="2" fillId="3" borderId="0" xfId="0" applyFont="1" applyFill="1" applyAlignment="1">
      <alignment horizontal="left" vertical="center" wrapText="1"/>
    </xf>
    <xf numFmtId="0" fontId="12" fillId="3" borderId="0" xfId="0" applyFont="1" applyFill="1" applyAlignment="1">
      <alignment horizontal="left" vertical="top" wrapText="1"/>
    </xf>
    <xf numFmtId="0" fontId="4" fillId="4" borderId="0" xfId="0" applyFont="1" applyFill="1" applyAlignment="1">
      <alignment horizontal="center" vertical="center" wrapText="1"/>
    </xf>
    <xf numFmtId="0" fontId="2" fillId="3" borderId="0" xfId="0" applyFont="1" applyFill="1" applyAlignment="1">
      <alignment horizontal="left" vertical="top"/>
    </xf>
  </cellXfs>
  <cellStyles count="5184">
    <cellStyle name="_x000a_386grabber=M" xfId="66" xr:uid="{00000000-0005-0000-0000-000000000000}"/>
    <cellStyle name="=C:\WINNT\SYSTEM32\COMMAND.COM" xfId="67" xr:uid="{00000000-0005-0000-0000-000001000000}"/>
    <cellStyle name="20% - Accent1" xfId="38" builtinId="30" customBuiltin="1"/>
    <cellStyle name="20% - Accent1 2" xfId="68" xr:uid="{00000000-0005-0000-0000-000002000000}"/>
    <cellStyle name="20% - Accent2" xfId="41" builtinId="34" customBuiltin="1"/>
    <cellStyle name="20% - Accent2 2" xfId="69" xr:uid="{00000000-0005-0000-0000-000004000000}"/>
    <cellStyle name="20% - Accent3" xfId="44" builtinId="38" customBuiltin="1"/>
    <cellStyle name="20% - Accent3 2" xfId="70" xr:uid="{00000000-0005-0000-0000-000006000000}"/>
    <cellStyle name="20% - Accent4" xfId="47" builtinId="42" customBuiltin="1"/>
    <cellStyle name="20% - Accent4 2" xfId="71" xr:uid="{00000000-0005-0000-0000-000008000000}"/>
    <cellStyle name="20% - Accent5" xfId="50" builtinId="46" customBuiltin="1"/>
    <cellStyle name="20% - Accent5 2" xfId="72" xr:uid="{00000000-0005-0000-0000-00000A000000}"/>
    <cellStyle name="20% - Accent6" xfId="53" builtinId="50" customBuiltin="1"/>
    <cellStyle name="20% - Accent6 2" xfId="73" xr:uid="{00000000-0005-0000-0000-00000C000000}"/>
    <cellStyle name="40% - Accent1" xfId="39" builtinId="31" customBuiltin="1"/>
    <cellStyle name="40% - Accent1 2" xfId="74" xr:uid="{00000000-0005-0000-0000-000014000000}"/>
    <cellStyle name="40% - Accent2" xfId="42" builtinId="35" customBuiltin="1"/>
    <cellStyle name="40% - Accent2 2" xfId="75" xr:uid="{00000000-0005-0000-0000-000016000000}"/>
    <cellStyle name="40% - Accent3" xfId="45" builtinId="39" customBuiltin="1"/>
    <cellStyle name="40% - Accent3 2" xfId="76" xr:uid="{00000000-0005-0000-0000-000018000000}"/>
    <cellStyle name="40% - Accent4" xfId="48" builtinId="43" customBuiltin="1"/>
    <cellStyle name="40% - Accent4 2" xfId="77" xr:uid="{00000000-0005-0000-0000-00001A000000}"/>
    <cellStyle name="40% - Accent5" xfId="51" builtinId="47" customBuiltin="1"/>
    <cellStyle name="40% - Accent5 2" xfId="78" xr:uid="{00000000-0005-0000-0000-00001C000000}"/>
    <cellStyle name="40% - Accent6" xfId="54" builtinId="51" customBuiltin="1"/>
    <cellStyle name="40% - Accent6 2" xfId="79" xr:uid="{00000000-0005-0000-0000-00001E000000}"/>
    <cellStyle name="60% - Accent1" xfId="4358" builtinId="32" customBuiltin="1"/>
    <cellStyle name="60% - Accent1 2" xfId="80" xr:uid="{00000000-0005-0000-0000-000026000000}"/>
    <cellStyle name="60% - Accent2" xfId="4359" builtinId="36" customBuiltin="1"/>
    <cellStyle name="60% - Accent2 2" xfId="81" xr:uid="{00000000-0005-0000-0000-000028000000}"/>
    <cellStyle name="60% - Accent3" xfId="4360" builtinId="40" customBuiltin="1"/>
    <cellStyle name="60% - Accent3 2" xfId="82" xr:uid="{00000000-0005-0000-0000-00002A000000}"/>
    <cellStyle name="60% - Accent4" xfId="4361" builtinId="44" customBuiltin="1"/>
    <cellStyle name="60% - Accent4 2" xfId="83" xr:uid="{00000000-0005-0000-0000-00002C000000}"/>
    <cellStyle name="60% - Accent5" xfId="4362" builtinId="48" customBuiltin="1"/>
    <cellStyle name="60% - Accent5 2" xfId="84" xr:uid="{00000000-0005-0000-0000-00002E000000}"/>
    <cellStyle name="60% - Accent6" xfId="4363" builtinId="52" customBuiltin="1"/>
    <cellStyle name="60% - Accent6 2" xfId="85" xr:uid="{00000000-0005-0000-0000-000030000000}"/>
    <cellStyle name="60% - akcent 1" xfId="64" xr:uid="{00000000-0005-0000-0000-000032000000}"/>
    <cellStyle name="60% - Énfasis1 2" xfId="591" xr:uid="{00000000-0005-0000-0000-000033000000}"/>
    <cellStyle name="60% - Énfasis1 3" xfId="58" xr:uid="{00000000-0005-0000-0000-000034000000}"/>
    <cellStyle name="60% - Énfasis2 2" xfId="592" xr:uid="{00000000-0005-0000-0000-000035000000}"/>
    <cellStyle name="60% - Énfasis2 3" xfId="59" xr:uid="{00000000-0005-0000-0000-000036000000}"/>
    <cellStyle name="60% - Énfasis3 2" xfId="593" xr:uid="{00000000-0005-0000-0000-000037000000}"/>
    <cellStyle name="60% - Énfasis3 3" xfId="60" xr:uid="{00000000-0005-0000-0000-000038000000}"/>
    <cellStyle name="60% - Énfasis4 2" xfId="594" xr:uid="{00000000-0005-0000-0000-000039000000}"/>
    <cellStyle name="60% - Énfasis4 3" xfId="61" xr:uid="{00000000-0005-0000-0000-00003A000000}"/>
    <cellStyle name="60% - Énfasis5 2" xfId="595" xr:uid="{00000000-0005-0000-0000-00003B000000}"/>
    <cellStyle name="60% - Énfasis5 3" xfId="62" xr:uid="{00000000-0005-0000-0000-00003C000000}"/>
    <cellStyle name="60% - Énfasis6 2" xfId="596" xr:uid="{00000000-0005-0000-0000-00003D000000}"/>
    <cellStyle name="60% - Énfasis6 3" xfId="63" xr:uid="{00000000-0005-0000-0000-00003E000000}"/>
    <cellStyle name="A3 297 x 420 mm" xfId="86" xr:uid="{00000000-0005-0000-0000-00003F000000}"/>
    <cellStyle name="Accent1" xfId="37" builtinId="29" customBuiltin="1"/>
    <cellStyle name="Accent1 2" xfId="87" xr:uid="{00000000-0005-0000-0000-000040000000}"/>
    <cellStyle name="Accent2" xfId="40" builtinId="33" customBuiltin="1"/>
    <cellStyle name="Accent2 2" xfId="88" xr:uid="{00000000-0005-0000-0000-000042000000}"/>
    <cellStyle name="Accent3" xfId="43" builtinId="37" customBuiltin="1"/>
    <cellStyle name="Accent3 2" xfId="89" xr:uid="{00000000-0005-0000-0000-000044000000}"/>
    <cellStyle name="Accent4" xfId="46" builtinId="41" customBuiltin="1"/>
    <cellStyle name="Accent4 2" xfId="90" xr:uid="{00000000-0005-0000-0000-000046000000}"/>
    <cellStyle name="Accent5" xfId="49" builtinId="45" customBuiltin="1"/>
    <cellStyle name="Accent5 2" xfId="91" xr:uid="{00000000-0005-0000-0000-000048000000}"/>
    <cellStyle name="Accent6" xfId="52" builtinId="49" customBuiltin="1"/>
    <cellStyle name="Accent6 2" xfId="92" xr:uid="{00000000-0005-0000-0000-00004A000000}"/>
    <cellStyle name="Bad" xfId="27" builtinId="27" customBuiltin="1"/>
    <cellStyle name="Bad 2" xfId="93" xr:uid="{00000000-0005-0000-0000-00004C000000}"/>
    <cellStyle name="Cabece - Estilo3" xfId="94" xr:uid="{00000000-0005-0000-0000-00004F000000}"/>
    <cellStyle name="Cabecera 1" xfId="95" xr:uid="{00000000-0005-0000-0000-000050000000}"/>
    <cellStyle name="Cabecera 2" xfId="96" xr:uid="{00000000-0005-0000-0000-000051000000}"/>
    <cellStyle name="Calculation" xfId="30" builtinId="22" customBuiltin="1"/>
    <cellStyle name="Calculation 2" xfId="97" xr:uid="{00000000-0005-0000-0000-000052000000}"/>
    <cellStyle name="Calculation 2 2" xfId="771" xr:uid="{00000000-0005-0000-0000-000053000000}"/>
    <cellStyle name="Calculation 2 2 2" xfId="4709" xr:uid="{25857FF4-919E-467F-897A-97CD370105DF}"/>
    <cellStyle name="Calculation 2 2 3" xfId="4789" xr:uid="{5346804C-BB35-4F55-94FD-140DFD456D6D}"/>
    <cellStyle name="Calculation 2 2 4" xfId="4806" xr:uid="{1138AD81-B14D-48D0-B644-4818B29181FB}"/>
    <cellStyle name="Calculation 2 3" xfId="4708" xr:uid="{40B1C7EF-BA45-4B46-96D1-62B7BA6AEA1B}"/>
    <cellStyle name="Calculation 2 4" xfId="4790" xr:uid="{21F9B41B-E8DC-4294-9E8A-F79E008E3B04}"/>
    <cellStyle name="Calculation 2 5" xfId="4807" xr:uid="{223C1F02-E128-4FD5-B4C7-7FD33E6EC209}"/>
    <cellStyle name="Centered Heading" xfId="98" xr:uid="{00000000-0005-0000-0000-000058000000}"/>
    <cellStyle name="CenterHead" xfId="99" xr:uid="{00000000-0005-0000-0000-000059000000}"/>
    <cellStyle name="Check Cell" xfId="32" builtinId="23" customBuiltin="1"/>
    <cellStyle name="Check Cell 2" xfId="100" xr:uid="{00000000-0005-0000-0000-00005A000000}"/>
    <cellStyle name="Column_Title" xfId="101" xr:uid="{00000000-0005-0000-0000-00005C000000}"/>
    <cellStyle name="Comma" xfId="8" builtinId="3"/>
    <cellStyle name="Comma  - Style1" xfId="102" xr:uid="{00000000-0005-0000-0000-00005D000000}"/>
    <cellStyle name="Comma  - Style2" xfId="103" xr:uid="{00000000-0005-0000-0000-00005E000000}"/>
    <cellStyle name="Comma  - Style3" xfId="104" xr:uid="{00000000-0005-0000-0000-00005F000000}"/>
    <cellStyle name="Comma  - Style4" xfId="105" xr:uid="{00000000-0005-0000-0000-000060000000}"/>
    <cellStyle name="Comma  - Style5" xfId="106" xr:uid="{00000000-0005-0000-0000-000061000000}"/>
    <cellStyle name="Comma  - Style6" xfId="107" xr:uid="{00000000-0005-0000-0000-000062000000}"/>
    <cellStyle name="Comma  - Style7" xfId="108" xr:uid="{00000000-0005-0000-0000-000063000000}"/>
    <cellStyle name="Comma  - Style8" xfId="109" xr:uid="{00000000-0005-0000-0000-000064000000}"/>
    <cellStyle name="Comma %" xfId="110" xr:uid="{00000000-0005-0000-0000-000065000000}"/>
    <cellStyle name="Comma [0]" xfId="1" builtinId="6"/>
    <cellStyle name="Comma [0] 2" xfId="4392" xr:uid="{1A26D635-B930-486D-BA41-B95C36602B7B}"/>
    <cellStyle name="Comma [0] 3" xfId="4906" xr:uid="{336B7BBE-8216-4E74-9818-37D8335264C9}"/>
    <cellStyle name="Comma 0.0" xfId="111" xr:uid="{00000000-0005-0000-0000-000067000000}"/>
    <cellStyle name="Comma 0.0%" xfId="112" xr:uid="{00000000-0005-0000-0000-000068000000}"/>
    <cellStyle name="Comma 0.0_Caso 10" xfId="113" xr:uid="{00000000-0005-0000-0000-000069000000}"/>
    <cellStyle name="Comma 0.00" xfId="114" xr:uid="{00000000-0005-0000-0000-00006A000000}"/>
    <cellStyle name="Comma 0.00%" xfId="115" xr:uid="{00000000-0005-0000-0000-00006B000000}"/>
    <cellStyle name="Comma 0.00_Caso 10" xfId="116" xr:uid="{00000000-0005-0000-0000-00006C000000}"/>
    <cellStyle name="Comma 0.000" xfId="117" xr:uid="{00000000-0005-0000-0000-00006D000000}"/>
    <cellStyle name="Comma 0.000%" xfId="118" xr:uid="{00000000-0005-0000-0000-00006E000000}"/>
    <cellStyle name="Comma 0.000_Caso 10" xfId="119" xr:uid="{00000000-0005-0000-0000-00006F000000}"/>
    <cellStyle name="Comma 10" xfId="120" xr:uid="{00000000-0005-0000-0000-000070000000}"/>
    <cellStyle name="Comma 11" xfId="121" xr:uid="{00000000-0005-0000-0000-000071000000}"/>
    <cellStyle name="Comma 12" xfId="122" xr:uid="{00000000-0005-0000-0000-000072000000}"/>
    <cellStyle name="Comma 13" xfId="123" xr:uid="{00000000-0005-0000-0000-000073000000}"/>
    <cellStyle name="Comma 14" xfId="124" xr:uid="{00000000-0005-0000-0000-000074000000}"/>
    <cellStyle name="Comma 15" xfId="125" xr:uid="{00000000-0005-0000-0000-000075000000}"/>
    <cellStyle name="Comma 16" xfId="126" xr:uid="{00000000-0005-0000-0000-000076000000}"/>
    <cellStyle name="Comma 16 10" xfId="4910" xr:uid="{CB439FF1-CA94-4C92-85A1-F3E9E836544E}"/>
    <cellStyle name="Comma 16 2" xfId="127" xr:uid="{00000000-0005-0000-0000-000077000000}"/>
    <cellStyle name="Comma 16 2 10" xfId="772" xr:uid="{00000000-0005-0000-0000-000078000000}"/>
    <cellStyle name="Comma 16 2 10 2" xfId="2360" xr:uid="{00000000-0005-0000-0000-000079000000}"/>
    <cellStyle name="Comma 16 2 10 2 2" xfId="3942" xr:uid="{00000000-0005-0000-0000-00007A000000}"/>
    <cellStyle name="Comma 16 2 10 3" xfId="1569" xr:uid="{00000000-0005-0000-0000-00007B000000}"/>
    <cellStyle name="Comma 16 2 10 4" xfId="3151" xr:uid="{00000000-0005-0000-0000-00007C000000}"/>
    <cellStyle name="Comma 16 2 11" xfId="1965" xr:uid="{00000000-0005-0000-0000-00007D000000}"/>
    <cellStyle name="Comma 16 2 11 2" xfId="3547" xr:uid="{00000000-0005-0000-0000-00007E000000}"/>
    <cellStyle name="Comma 16 2 12" xfId="1175" xr:uid="{00000000-0005-0000-0000-00007F000000}"/>
    <cellStyle name="Comma 16 2 13" xfId="2756" xr:uid="{00000000-0005-0000-0000-000080000000}"/>
    <cellStyle name="Comma 16 2 2" xfId="294" xr:uid="{00000000-0005-0000-0000-000081000000}"/>
    <cellStyle name="Comma 16 2 2 10" xfId="1178" xr:uid="{00000000-0005-0000-0000-000082000000}"/>
    <cellStyle name="Comma 16 2 2 11" xfId="2760" xr:uid="{00000000-0005-0000-0000-000083000000}"/>
    <cellStyle name="Comma 16 2 2 2" xfId="313" xr:uid="{00000000-0005-0000-0000-000084000000}"/>
    <cellStyle name="Comma 16 2 2 2 10" xfId="2773" xr:uid="{00000000-0005-0000-0000-000085000000}"/>
    <cellStyle name="Comma 16 2 2 2 2" xfId="391" xr:uid="{00000000-0005-0000-0000-000086000000}"/>
    <cellStyle name="Comma 16 2 2 2 2 2" xfId="503" xr:uid="{00000000-0005-0000-0000-000087000000}"/>
    <cellStyle name="Comma 16 2 2 2 2 2 2" xfId="731" xr:uid="{00000000-0005-0000-0000-000088000000}"/>
    <cellStyle name="Comma 16 2 2 2 2 2 2 2" xfId="1131" xr:uid="{00000000-0005-0000-0000-000089000000}"/>
    <cellStyle name="Comma 16 2 2 2 2 2 2 2 2" xfId="2714" xr:uid="{00000000-0005-0000-0000-00008A000000}"/>
    <cellStyle name="Comma 16 2 2 2 2 2 2 2 2 2" xfId="4296" xr:uid="{00000000-0005-0000-0000-00008B000000}"/>
    <cellStyle name="Comma 16 2 2 2 2 2 2 2 3" xfId="1923" xr:uid="{00000000-0005-0000-0000-00008C000000}"/>
    <cellStyle name="Comma 16 2 2 2 2 2 2 2 4" xfId="3505" xr:uid="{00000000-0005-0000-0000-00008D000000}"/>
    <cellStyle name="Comma 16 2 2 2 2 2 2 3" xfId="2320" xr:uid="{00000000-0005-0000-0000-00008E000000}"/>
    <cellStyle name="Comma 16 2 2 2 2 2 2 3 2" xfId="3902" xr:uid="{00000000-0005-0000-0000-00008F000000}"/>
    <cellStyle name="Comma 16 2 2 2 2 2 2 4" xfId="1529" xr:uid="{00000000-0005-0000-0000-000090000000}"/>
    <cellStyle name="Comma 16 2 2 2 2 2 2 5" xfId="3111" xr:uid="{00000000-0005-0000-0000-000091000000}"/>
    <cellStyle name="Comma 16 2 2 2 2 2 3" xfId="910" xr:uid="{00000000-0005-0000-0000-000092000000}"/>
    <cellStyle name="Comma 16 2 2 2 2 2 3 2" xfId="2493" xr:uid="{00000000-0005-0000-0000-000093000000}"/>
    <cellStyle name="Comma 16 2 2 2 2 2 3 2 2" xfId="4075" xr:uid="{00000000-0005-0000-0000-000094000000}"/>
    <cellStyle name="Comma 16 2 2 2 2 2 3 3" xfId="1702" xr:uid="{00000000-0005-0000-0000-000095000000}"/>
    <cellStyle name="Comma 16 2 2 2 2 2 3 4" xfId="3284" xr:uid="{00000000-0005-0000-0000-000096000000}"/>
    <cellStyle name="Comma 16 2 2 2 2 2 4" xfId="2099" xr:uid="{00000000-0005-0000-0000-000097000000}"/>
    <cellStyle name="Comma 16 2 2 2 2 2 4 2" xfId="3681" xr:uid="{00000000-0005-0000-0000-000098000000}"/>
    <cellStyle name="Comma 16 2 2 2 2 2 5" xfId="1308" xr:uid="{00000000-0005-0000-0000-000099000000}"/>
    <cellStyle name="Comma 16 2 2 2 2 2 6" xfId="2890" xr:uid="{00000000-0005-0000-0000-00009A000000}"/>
    <cellStyle name="Comma 16 2 2 2 2 3" xfId="580" xr:uid="{00000000-0005-0000-0000-00009B000000}"/>
    <cellStyle name="Comma 16 2 2 2 2 3 2" xfId="987" xr:uid="{00000000-0005-0000-0000-00009C000000}"/>
    <cellStyle name="Comma 16 2 2 2 2 3 2 2" xfId="2570" xr:uid="{00000000-0005-0000-0000-00009D000000}"/>
    <cellStyle name="Comma 16 2 2 2 2 3 2 2 2" xfId="4152" xr:uid="{00000000-0005-0000-0000-00009E000000}"/>
    <cellStyle name="Comma 16 2 2 2 2 3 2 3" xfId="1779" xr:uid="{00000000-0005-0000-0000-00009F000000}"/>
    <cellStyle name="Comma 16 2 2 2 2 3 2 4" xfId="3361" xr:uid="{00000000-0005-0000-0000-0000A0000000}"/>
    <cellStyle name="Comma 16 2 2 2 2 3 3" xfId="2176" xr:uid="{00000000-0005-0000-0000-0000A1000000}"/>
    <cellStyle name="Comma 16 2 2 2 2 3 3 2" xfId="3758" xr:uid="{00000000-0005-0000-0000-0000A2000000}"/>
    <cellStyle name="Comma 16 2 2 2 2 3 4" xfId="1385" xr:uid="{00000000-0005-0000-0000-0000A3000000}"/>
    <cellStyle name="Comma 16 2 2 2 2 3 5" xfId="2967" xr:uid="{00000000-0005-0000-0000-0000A4000000}"/>
    <cellStyle name="Comma 16 2 2 2 2 4" xfId="655" xr:uid="{00000000-0005-0000-0000-0000A5000000}"/>
    <cellStyle name="Comma 16 2 2 2 2 4 2" xfId="1055" xr:uid="{00000000-0005-0000-0000-0000A6000000}"/>
    <cellStyle name="Comma 16 2 2 2 2 4 2 2" xfId="2638" xr:uid="{00000000-0005-0000-0000-0000A7000000}"/>
    <cellStyle name="Comma 16 2 2 2 2 4 2 2 2" xfId="4220" xr:uid="{00000000-0005-0000-0000-0000A8000000}"/>
    <cellStyle name="Comma 16 2 2 2 2 4 2 3" xfId="1847" xr:uid="{00000000-0005-0000-0000-0000A9000000}"/>
    <cellStyle name="Comma 16 2 2 2 2 4 2 4" xfId="3429" xr:uid="{00000000-0005-0000-0000-0000AA000000}"/>
    <cellStyle name="Comma 16 2 2 2 2 4 3" xfId="2244" xr:uid="{00000000-0005-0000-0000-0000AB000000}"/>
    <cellStyle name="Comma 16 2 2 2 2 4 3 2" xfId="3826" xr:uid="{00000000-0005-0000-0000-0000AC000000}"/>
    <cellStyle name="Comma 16 2 2 2 2 4 4" xfId="1453" xr:uid="{00000000-0005-0000-0000-0000AD000000}"/>
    <cellStyle name="Comma 16 2 2 2 2 4 5" xfId="3035" xr:uid="{00000000-0005-0000-0000-0000AE000000}"/>
    <cellStyle name="Comma 16 2 2 2 2 5" xfId="834" xr:uid="{00000000-0005-0000-0000-0000AF000000}"/>
    <cellStyle name="Comma 16 2 2 2 2 5 2" xfId="2417" xr:uid="{00000000-0005-0000-0000-0000B0000000}"/>
    <cellStyle name="Comma 16 2 2 2 2 5 2 2" xfId="3999" xr:uid="{00000000-0005-0000-0000-0000B1000000}"/>
    <cellStyle name="Comma 16 2 2 2 2 5 3" xfId="1626" xr:uid="{00000000-0005-0000-0000-0000B2000000}"/>
    <cellStyle name="Comma 16 2 2 2 2 5 4" xfId="3208" xr:uid="{00000000-0005-0000-0000-0000B3000000}"/>
    <cellStyle name="Comma 16 2 2 2 2 6" xfId="2023" xr:uid="{00000000-0005-0000-0000-0000B4000000}"/>
    <cellStyle name="Comma 16 2 2 2 2 6 2" xfId="3605" xr:uid="{00000000-0005-0000-0000-0000B5000000}"/>
    <cellStyle name="Comma 16 2 2 2 2 7" xfId="1232" xr:uid="{00000000-0005-0000-0000-0000B6000000}"/>
    <cellStyle name="Comma 16 2 2 2 2 8" xfId="2814" xr:uid="{00000000-0005-0000-0000-0000B7000000}"/>
    <cellStyle name="Comma 16 2 2 2 3" xfId="462" xr:uid="{00000000-0005-0000-0000-0000B8000000}"/>
    <cellStyle name="Comma 16 2 2 2 3 2" xfId="690" xr:uid="{00000000-0005-0000-0000-0000B9000000}"/>
    <cellStyle name="Comma 16 2 2 2 3 2 2" xfId="1090" xr:uid="{00000000-0005-0000-0000-0000BA000000}"/>
    <cellStyle name="Comma 16 2 2 2 3 2 2 2" xfId="2673" xr:uid="{00000000-0005-0000-0000-0000BB000000}"/>
    <cellStyle name="Comma 16 2 2 2 3 2 2 2 2" xfId="4255" xr:uid="{00000000-0005-0000-0000-0000BC000000}"/>
    <cellStyle name="Comma 16 2 2 2 3 2 2 3" xfId="1882" xr:uid="{00000000-0005-0000-0000-0000BD000000}"/>
    <cellStyle name="Comma 16 2 2 2 3 2 2 4" xfId="3464" xr:uid="{00000000-0005-0000-0000-0000BE000000}"/>
    <cellStyle name="Comma 16 2 2 2 3 2 3" xfId="2279" xr:uid="{00000000-0005-0000-0000-0000BF000000}"/>
    <cellStyle name="Comma 16 2 2 2 3 2 3 2" xfId="3861" xr:uid="{00000000-0005-0000-0000-0000C0000000}"/>
    <cellStyle name="Comma 16 2 2 2 3 2 4" xfId="1488" xr:uid="{00000000-0005-0000-0000-0000C1000000}"/>
    <cellStyle name="Comma 16 2 2 2 3 2 5" xfId="3070" xr:uid="{00000000-0005-0000-0000-0000C2000000}"/>
    <cellStyle name="Comma 16 2 2 2 3 3" xfId="869" xr:uid="{00000000-0005-0000-0000-0000C3000000}"/>
    <cellStyle name="Comma 16 2 2 2 3 3 2" xfId="2452" xr:uid="{00000000-0005-0000-0000-0000C4000000}"/>
    <cellStyle name="Comma 16 2 2 2 3 3 2 2" xfId="4034" xr:uid="{00000000-0005-0000-0000-0000C5000000}"/>
    <cellStyle name="Comma 16 2 2 2 3 3 3" xfId="1661" xr:uid="{00000000-0005-0000-0000-0000C6000000}"/>
    <cellStyle name="Comma 16 2 2 2 3 3 4" xfId="3243" xr:uid="{00000000-0005-0000-0000-0000C7000000}"/>
    <cellStyle name="Comma 16 2 2 2 3 4" xfId="2058" xr:uid="{00000000-0005-0000-0000-0000C8000000}"/>
    <cellStyle name="Comma 16 2 2 2 3 4 2" xfId="3640" xr:uid="{00000000-0005-0000-0000-0000C9000000}"/>
    <cellStyle name="Comma 16 2 2 2 3 5" xfId="1267" xr:uid="{00000000-0005-0000-0000-0000CA000000}"/>
    <cellStyle name="Comma 16 2 2 2 3 6" xfId="2849" xr:uid="{00000000-0005-0000-0000-0000CB000000}"/>
    <cellStyle name="Comma 16 2 2 2 4" xfId="539" xr:uid="{00000000-0005-0000-0000-0000CC000000}"/>
    <cellStyle name="Comma 16 2 2 2 4 2" xfId="946" xr:uid="{00000000-0005-0000-0000-0000CD000000}"/>
    <cellStyle name="Comma 16 2 2 2 4 2 2" xfId="2529" xr:uid="{00000000-0005-0000-0000-0000CE000000}"/>
    <cellStyle name="Comma 16 2 2 2 4 2 2 2" xfId="4111" xr:uid="{00000000-0005-0000-0000-0000CF000000}"/>
    <cellStyle name="Comma 16 2 2 2 4 2 3" xfId="1738" xr:uid="{00000000-0005-0000-0000-0000D0000000}"/>
    <cellStyle name="Comma 16 2 2 2 4 2 4" xfId="3320" xr:uid="{00000000-0005-0000-0000-0000D1000000}"/>
    <cellStyle name="Comma 16 2 2 2 4 3" xfId="2135" xr:uid="{00000000-0005-0000-0000-0000D2000000}"/>
    <cellStyle name="Comma 16 2 2 2 4 3 2" xfId="3717" xr:uid="{00000000-0005-0000-0000-0000D3000000}"/>
    <cellStyle name="Comma 16 2 2 2 4 4" xfId="1344" xr:uid="{00000000-0005-0000-0000-0000D4000000}"/>
    <cellStyle name="Comma 16 2 2 2 4 5" xfId="2926" xr:uid="{00000000-0005-0000-0000-0000D5000000}"/>
    <cellStyle name="Comma 16 2 2 2 5" xfId="614" xr:uid="{00000000-0005-0000-0000-0000D6000000}"/>
    <cellStyle name="Comma 16 2 2 2 5 2" xfId="1014" xr:uid="{00000000-0005-0000-0000-0000D7000000}"/>
    <cellStyle name="Comma 16 2 2 2 5 2 2" xfId="2597" xr:uid="{00000000-0005-0000-0000-0000D8000000}"/>
    <cellStyle name="Comma 16 2 2 2 5 2 2 2" xfId="4179" xr:uid="{00000000-0005-0000-0000-0000D9000000}"/>
    <cellStyle name="Comma 16 2 2 2 5 2 3" xfId="1806" xr:uid="{00000000-0005-0000-0000-0000DA000000}"/>
    <cellStyle name="Comma 16 2 2 2 5 2 4" xfId="3388" xr:uid="{00000000-0005-0000-0000-0000DB000000}"/>
    <cellStyle name="Comma 16 2 2 2 5 3" xfId="2203" xr:uid="{00000000-0005-0000-0000-0000DC000000}"/>
    <cellStyle name="Comma 16 2 2 2 5 3 2" xfId="3785" xr:uid="{00000000-0005-0000-0000-0000DD000000}"/>
    <cellStyle name="Comma 16 2 2 2 5 4" xfId="1412" xr:uid="{00000000-0005-0000-0000-0000DE000000}"/>
    <cellStyle name="Comma 16 2 2 2 5 5" xfId="2994" xr:uid="{00000000-0005-0000-0000-0000DF000000}"/>
    <cellStyle name="Comma 16 2 2 2 6" xfId="766" xr:uid="{00000000-0005-0000-0000-0000E0000000}"/>
    <cellStyle name="Comma 16 2 2 2 6 2" xfId="1166" xr:uid="{00000000-0005-0000-0000-0000E1000000}"/>
    <cellStyle name="Comma 16 2 2 2 6 2 2" xfId="2749" xr:uid="{00000000-0005-0000-0000-0000E2000000}"/>
    <cellStyle name="Comma 16 2 2 2 6 2 2 2" xfId="4331" xr:uid="{00000000-0005-0000-0000-0000E3000000}"/>
    <cellStyle name="Comma 16 2 2 2 6 2 3" xfId="1958" xr:uid="{00000000-0005-0000-0000-0000E4000000}"/>
    <cellStyle name="Comma 16 2 2 2 6 2 4" xfId="3540" xr:uid="{00000000-0005-0000-0000-0000E5000000}"/>
    <cellStyle name="Comma 16 2 2 2 6 3" xfId="2355" xr:uid="{00000000-0005-0000-0000-0000E6000000}"/>
    <cellStyle name="Comma 16 2 2 2 6 3 2" xfId="3937" xr:uid="{00000000-0005-0000-0000-0000E7000000}"/>
    <cellStyle name="Comma 16 2 2 2 6 4" xfId="1564" xr:uid="{00000000-0005-0000-0000-0000E8000000}"/>
    <cellStyle name="Comma 16 2 2 2 6 5" xfId="3146" xr:uid="{00000000-0005-0000-0000-0000E9000000}"/>
    <cellStyle name="Comma 16 2 2 2 7" xfId="793" xr:uid="{00000000-0005-0000-0000-0000EA000000}"/>
    <cellStyle name="Comma 16 2 2 2 7 2" xfId="2376" xr:uid="{00000000-0005-0000-0000-0000EB000000}"/>
    <cellStyle name="Comma 16 2 2 2 7 2 2" xfId="3958" xr:uid="{00000000-0005-0000-0000-0000EC000000}"/>
    <cellStyle name="Comma 16 2 2 2 7 3" xfId="1585" xr:uid="{00000000-0005-0000-0000-0000ED000000}"/>
    <cellStyle name="Comma 16 2 2 2 7 4" xfId="3167" xr:uid="{00000000-0005-0000-0000-0000EE000000}"/>
    <cellStyle name="Comma 16 2 2 2 8" xfId="1982" xr:uid="{00000000-0005-0000-0000-0000EF000000}"/>
    <cellStyle name="Comma 16 2 2 2 8 2" xfId="3564" xr:uid="{00000000-0005-0000-0000-0000F0000000}"/>
    <cellStyle name="Comma 16 2 2 2 9" xfId="1191" xr:uid="{00000000-0005-0000-0000-0000F1000000}"/>
    <cellStyle name="Comma 16 2 2 3" xfId="372" xr:uid="{00000000-0005-0000-0000-0000F2000000}"/>
    <cellStyle name="Comma 16 2 2 3 2" xfId="490" xr:uid="{00000000-0005-0000-0000-0000F3000000}"/>
    <cellStyle name="Comma 16 2 2 3 2 2" xfId="718" xr:uid="{00000000-0005-0000-0000-0000F4000000}"/>
    <cellStyle name="Comma 16 2 2 3 2 2 2" xfId="1118" xr:uid="{00000000-0005-0000-0000-0000F5000000}"/>
    <cellStyle name="Comma 16 2 2 3 2 2 2 2" xfId="2701" xr:uid="{00000000-0005-0000-0000-0000F6000000}"/>
    <cellStyle name="Comma 16 2 2 3 2 2 2 2 2" xfId="4283" xr:uid="{00000000-0005-0000-0000-0000F7000000}"/>
    <cellStyle name="Comma 16 2 2 3 2 2 2 3" xfId="1910" xr:uid="{00000000-0005-0000-0000-0000F8000000}"/>
    <cellStyle name="Comma 16 2 2 3 2 2 2 4" xfId="3492" xr:uid="{00000000-0005-0000-0000-0000F9000000}"/>
    <cellStyle name="Comma 16 2 2 3 2 2 3" xfId="2307" xr:uid="{00000000-0005-0000-0000-0000FA000000}"/>
    <cellStyle name="Comma 16 2 2 3 2 2 3 2" xfId="3889" xr:uid="{00000000-0005-0000-0000-0000FB000000}"/>
    <cellStyle name="Comma 16 2 2 3 2 2 4" xfId="1516" xr:uid="{00000000-0005-0000-0000-0000FC000000}"/>
    <cellStyle name="Comma 16 2 2 3 2 2 5" xfId="3098" xr:uid="{00000000-0005-0000-0000-0000FD000000}"/>
    <cellStyle name="Comma 16 2 2 3 2 3" xfId="897" xr:uid="{00000000-0005-0000-0000-0000FE000000}"/>
    <cellStyle name="Comma 16 2 2 3 2 3 2" xfId="2480" xr:uid="{00000000-0005-0000-0000-0000FF000000}"/>
    <cellStyle name="Comma 16 2 2 3 2 3 2 2" xfId="4062" xr:uid="{00000000-0005-0000-0000-000000010000}"/>
    <cellStyle name="Comma 16 2 2 3 2 3 3" xfId="1689" xr:uid="{00000000-0005-0000-0000-000001010000}"/>
    <cellStyle name="Comma 16 2 2 3 2 3 4" xfId="3271" xr:uid="{00000000-0005-0000-0000-000002010000}"/>
    <cellStyle name="Comma 16 2 2 3 2 4" xfId="2086" xr:uid="{00000000-0005-0000-0000-000003010000}"/>
    <cellStyle name="Comma 16 2 2 3 2 4 2" xfId="3668" xr:uid="{00000000-0005-0000-0000-000004010000}"/>
    <cellStyle name="Comma 16 2 2 3 2 5" xfId="1295" xr:uid="{00000000-0005-0000-0000-000005010000}"/>
    <cellStyle name="Comma 16 2 2 3 2 6" xfId="2877" xr:uid="{00000000-0005-0000-0000-000006010000}"/>
    <cellStyle name="Comma 16 2 2 3 3" xfId="567" xr:uid="{00000000-0005-0000-0000-000007010000}"/>
    <cellStyle name="Comma 16 2 2 3 3 2" xfId="974" xr:uid="{00000000-0005-0000-0000-000008010000}"/>
    <cellStyle name="Comma 16 2 2 3 3 2 2" xfId="2557" xr:uid="{00000000-0005-0000-0000-000009010000}"/>
    <cellStyle name="Comma 16 2 2 3 3 2 2 2" xfId="4139" xr:uid="{00000000-0005-0000-0000-00000A010000}"/>
    <cellStyle name="Comma 16 2 2 3 3 2 3" xfId="1766" xr:uid="{00000000-0005-0000-0000-00000B010000}"/>
    <cellStyle name="Comma 16 2 2 3 3 2 4" xfId="3348" xr:uid="{00000000-0005-0000-0000-00000C010000}"/>
    <cellStyle name="Comma 16 2 2 3 3 3" xfId="2163" xr:uid="{00000000-0005-0000-0000-00000D010000}"/>
    <cellStyle name="Comma 16 2 2 3 3 3 2" xfId="3745" xr:uid="{00000000-0005-0000-0000-00000E010000}"/>
    <cellStyle name="Comma 16 2 2 3 3 4" xfId="1372" xr:uid="{00000000-0005-0000-0000-00000F010000}"/>
    <cellStyle name="Comma 16 2 2 3 3 5" xfId="2954" xr:uid="{00000000-0005-0000-0000-000010010000}"/>
    <cellStyle name="Comma 16 2 2 3 4" xfId="642" xr:uid="{00000000-0005-0000-0000-000011010000}"/>
    <cellStyle name="Comma 16 2 2 3 4 2" xfId="1042" xr:uid="{00000000-0005-0000-0000-000012010000}"/>
    <cellStyle name="Comma 16 2 2 3 4 2 2" xfId="2625" xr:uid="{00000000-0005-0000-0000-000013010000}"/>
    <cellStyle name="Comma 16 2 2 3 4 2 2 2" xfId="4207" xr:uid="{00000000-0005-0000-0000-000014010000}"/>
    <cellStyle name="Comma 16 2 2 3 4 2 3" xfId="1834" xr:uid="{00000000-0005-0000-0000-000015010000}"/>
    <cellStyle name="Comma 16 2 2 3 4 2 4" xfId="3416" xr:uid="{00000000-0005-0000-0000-000016010000}"/>
    <cellStyle name="Comma 16 2 2 3 4 3" xfId="2231" xr:uid="{00000000-0005-0000-0000-000017010000}"/>
    <cellStyle name="Comma 16 2 2 3 4 3 2" xfId="3813" xr:uid="{00000000-0005-0000-0000-000018010000}"/>
    <cellStyle name="Comma 16 2 2 3 4 4" xfId="1440" xr:uid="{00000000-0005-0000-0000-000019010000}"/>
    <cellStyle name="Comma 16 2 2 3 4 5" xfId="3022" xr:uid="{00000000-0005-0000-0000-00001A010000}"/>
    <cellStyle name="Comma 16 2 2 3 5" xfId="821" xr:uid="{00000000-0005-0000-0000-00001B010000}"/>
    <cellStyle name="Comma 16 2 2 3 5 2" xfId="2404" xr:uid="{00000000-0005-0000-0000-00001C010000}"/>
    <cellStyle name="Comma 16 2 2 3 5 2 2" xfId="3986" xr:uid="{00000000-0005-0000-0000-00001D010000}"/>
    <cellStyle name="Comma 16 2 2 3 5 3" xfId="1613" xr:uid="{00000000-0005-0000-0000-00001E010000}"/>
    <cellStyle name="Comma 16 2 2 3 5 4" xfId="3195" xr:uid="{00000000-0005-0000-0000-00001F010000}"/>
    <cellStyle name="Comma 16 2 2 3 6" xfId="2010" xr:uid="{00000000-0005-0000-0000-000020010000}"/>
    <cellStyle name="Comma 16 2 2 3 6 2" xfId="3592" xr:uid="{00000000-0005-0000-0000-000021010000}"/>
    <cellStyle name="Comma 16 2 2 3 7" xfId="1219" xr:uid="{00000000-0005-0000-0000-000022010000}"/>
    <cellStyle name="Comma 16 2 2 3 8" xfId="2801" xr:uid="{00000000-0005-0000-0000-000023010000}"/>
    <cellStyle name="Comma 16 2 2 4" xfId="449" xr:uid="{00000000-0005-0000-0000-000024010000}"/>
    <cellStyle name="Comma 16 2 2 4 2" xfId="677" xr:uid="{00000000-0005-0000-0000-000025010000}"/>
    <cellStyle name="Comma 16 2 2 4 2 2" xfId="1077" xr:uid="{00000000-0005-0000-0000-000026010000}"/>
    <cellStyle name="Comma 16 2 2 4 2 2 2" xfId="2660" xr:uid="{00000000-0005-0000-0000-000027010000}"/>
    <cellStyle name="Comma 16 2 2 4 2 2 2 2" xfId="4242" xr:uid="{00000000-0005-0000-0000-000028010000}"/>
    <cellStyle name="Comma 16 2 2 4 2 2 3" xfId="1869" xr:uid="{00000000-0005-0000-0000-000029010000}"/>
    <cellStyle name="Comma 16 2 2 4 2 2 4" xfId="3451" xr:uid="{00000000-0005-0000-0000-00002A010000}"/>
    <cellStyle name="Comma 16 2 2 4 2 3" xfId="2266" xr:uid="{00000000-0005-0000-0000-00002B010000}"/>
    <cellStyle name="Comma 16 2 2 4 2 3 2" xfId="3848" xr:uid="{00000000-0005-0000-0000-00002C010000}"/>
    <cellStyle name="Comma 16 2 2 4 2 4" xfId="1475" xr:uid="{00000000-0005-0000-0000-00002D010000}"/>
    <cellStyle name="Comma 16 2 2 4 2 5" xfId="3057" xr:uid="{00000000-0005-0000-0000-00002E010000}"/>
    <cellStyle name="Comma 16 2 2 4 3" xfId="856" xr:uid="{00000000-0005-0000-0000-00002F010000}"/>
    <cellStyle name="Comma 16 2 2 4 3 2" xfId="2439" xr:uid="{00000000-0005-0000-0000-000030010000}"/>
    <cellStyle name="Comma 16 2 2 4 3 2 2" xfId="4021" xr:uid="{00000000-0005-0000-0000-000031010000}"/>
    <cellStyle name="Comma 16 2 2 4 3 3" xfId="1648" xr:uid="{00000000-0005-0000-0000-000032010000}"/>
    <cellStyle name="Comma 16 2 2 4 3 4" xfId="3230" xr:uid="{00000000-0005-0000-0000-000033010000}"/>
    <cellStyle name="Comma 16 2 2 4 4" xfId="2045" xr:uid="{00000000-0005-0000-0000-000034010000}"/>
    <cellStyle name="Comma 16 2 2 4 4 2" xfId="3627" xr:uid="{00000000-0005-0000-0000-000035010000}"/>
    <cellStyle name="Comma 16 2 2 4 5" xfId="1254" xr:uid="{00000000-0005-0000-0000-000036010000}"/>
    <cellStyle name="Comma 16 2 2 4 6" xfId="2836" xr:uid="{00000000-0005-0000-0000-000037010000}"/>
    <cellStyle name="Comma 16 2 2 5" xfId="526" xr:uid="{00000000-0005-0000-0000-000038010000}"/>
    <cellStyle name="Comma 16 2 2 5 2" xfId="933" xr:uid="{00000000-0005-0000-0000-000039010000}"/>
    <cellStyle name="Comma 16 2 2 5 2 2" xfId="2516" xr:uid="{00000000-0005-0000-0000-00003A010000}"/>
    <cellStyle name="Comma 16 2 2 5 2 2 2" xfId="4098" xr:uid="{00000000-0005-0000-0000-00003B010000}"/>
    <cellStyle name="Comma 16 2 2 5 2 3" xfId="1725" xr:uid="{00000000-0005-0000-0000-00003C010000}"/>
    <cellStyle name="Comma 16 2 2 5 2 4" xfId="3307" xr:uid="{00000000-0005-0000-0000-00003D010000}"/>
    <cellStyle name="Comma 16 2 2 5 3" xfId="2122" xr:uid="{00000000-0005-0000-0000-00003E010000}"/>
    <cellStyle name="Comma 16 2 2 5 3 2" xfId="3704" xr:uid="{00000000-0005-0000-0000-00003F010000}"/>
    <cellStyle name="Comma 16 2 2 5 4" xfId="1331" xr:uid="{00000000-0005-0000-0000-000040010000}"/>
    <cellStyle name="Comma 16 2 2 5 5" xfId="2913" xr:uid="{00000000-0005-0000-0000-000041010000}"/>
    <cellStyle name="Comma 16 2 2 6" xfId="601" xr:uid="{00000000-0005-0000-0000-000042010000}"/>
    <cellStyle name="Comma 16 2 2 6 2" xfId="1001" xr:uid="{00000000-0005-0000-0000-000043010000}"/>
    <cellStyle name="Comma 16 2 2 6 2 2" xfId="2584" xr:uid="{00000000-0005-0000-0000-000044010000}"/>
    <cellStyle name="Comma 16 2 2 6 2 2 2" xfId="4166" xr:uid="{00000000-0005-0000-0000-000045010000}"/>
    <cellStyle name="Comma 16 2 2 6 2 3" xfId="1793" xr:uid="{00000000-0005-0000-0000-000046010000}"/>
    <cellStyle name="Comma 16 2 2 6 2 4" xfId="3375" xr:uid="{00000000-0005-0000-0000-000047010000}"/>
    <cellStyle name="Comma 16 2 2 6 3" xfId="2190" xr:uid="{00000000-0005-0000-0000-000048010000}"/>
    <cellStyle name="Comma 16 2 2 6 3 2" xfId="3772" xr:uid="{00000000-0005-0000-0000-000049010000}"/>
    <cellStyle name="Comma 16 2 2 6 4" xfId="1399" xr:uid="{00000000-0005-0000-0000-00004A010000}"/>
    <cellStyle name="Comma 16 2 2 6 5" xfId="2981" xr:uid="{00000000-0005-0000-0000-00004B010000}"/>
    <cellStyle name="Comma 16 2 2 7" xfId="753" xr:uid="{00000000-0005-0000-0000-00004C010000}"/>
    <cellStyle name="Comma 16 2 2 7 2" xfId="1153" xr:uid="{00000000-0005-0000-0000-00004D010000}"/>
    <cellStyle name="Comma 16 2 2 7 2 2" xfId="2736" xr:uid="{00000000-0005-0000-0000-00004E010000}"/>
    <cellStyle name="Comma 16 2 2 7 2 2 2" xfId="4318" xr:uid="{00000000-0005-0000-0000-00004F010000}"/>
    <cellStyle name="Comma 16 2 2 7 2 3" xfId="1945" xr:uid="{00000000-0005-0000-0000-000050010000}"/>
    <cellStyle name="Comma 16 2 2 7 2 4" xfId="3527" xr:uid="{00000000-0005-0000-0000-000051010000}"/>
    <cellStyle name="Comma 16 2 2 7 3" xfId="2342" xr:uid="{00000000-0005-0000-0000-000052010000}"/>
    <cellStyle name="Comma 16 2 2 7 3 2" xfId="3924" xr:uid="{00000000-0005-0000-0000-000053010000}"/>
    <cellStyle name="Comma 16 2 2 7 4" xfId="1551" xr:uid="{00000000-0005-0000-0000-000054010000}"/>
    <cellStyle name="Comma 16 2 2 7 5" xfId="3133" xr:uid="{00000000-0005-0000-0000-000055010000}"/>
    <cellStyle name="Comma 16 2 2 8" xfId="780" xr:uid="{00000000-0005-0000-0000-000056010000}"/>
    <cellStyle name="Comma 16 2 2 8 2" xfId="2363" xr:uid="{00000000-0005-0000-0000-000057010000}"/>
    <cellStyle name="Comma 16 2 2 8 2 2" xfId="3945" xr:uid="{00000000-0005-0000-0000-000058010000}"/>
    <cellStyle name="Comma 16 2 2 8 3" xfId="1572" xr:uid="{00000000-0005-0000-0000-000059010000}"/>
    <cellStyle name="Comma 16 2 2 8 4" xfId="3154" xr:uid="{00000000-0005-0000-0000-00005A010000}"/>
    <cellStyle name="Comma 16 2 2 9" xfId="1969" xr:uid="{00000000-0005-0000-0000-00005B010000}"/>
    <cellStyle name="Comma 16 2 2 9 2" xfId="3551" xr:uid="{00000000-0005-0000-0000-00005C010000}"/>
    <cellStyle name="Comma 16 2 3" xfId="304" xr:uid="{00000000-0005-0000-0000-00005D010000}"/>
    <cellStyle name="Comma 16 2 3 10" xfId="2767" xr:uid="{00000000-0005-0000-0000-00005E010000}"/>
    <cellStyle name="Comma 16 2 3 2" xfId="382" xr:uid="{00000000-0005-0000-0000-00005F010000}"/>
    <cellStyle name="Comma 16 2 3 2 2" xfId="497" xr:uid="{00000000-0005-0000-0000-000060010000}"/>
    <cellStyle name="Comma 16 2 3 2 2 2" xfId="725" xr:uid="{00000000-0005-0000-0000-000061010000}"/>
    <cellStyle name="Comma 16 2 3 2 2 2 2" xfId="1125" xr:uid="{00000000-0005-0000-0000-000062010000}"/>
    <cellStyle name="Comma 16 2 3 2 2 2 2 2" xfId="2708" xr:uid="{00000000-0005-0000-0000-000063010000}"/>
    <cellStyle name="Comma 16 2 3 2 2 2 2 2 2" xfId="4290" xr:uid="{00000000-0005-0000-0000-000064010000}"/>
    <cellStyle name="Comma 16 2 3 2 2 2 2 3" xfId="1917" xr:uid="{00000000-0005-0000-0000-000065010000}"/>
    <cellStyle name="Comma 16 2 3 2 2 2 2 4" xfId="3499" xr:uid="{00000000-0005-0000-0000-000066010000}"/>
    <cellStyle name="Comma 16 2 3 2 2 2 3" xfId="2314" xr:uid="{00000000-0005-0000-0000-000067010000}"/>
    <cellStyle name="Comma 16 2 3 2 2 2 3 2" xfId="3896" xr:uid="{00000000-0005-0000-0000-000068010000}"/>
    <cellStyle name="Comma 16 2 3 2 2 2 4" xfId="1523" xr:uid="{00000000-0005-0000-0000-000069010000}"/>
    <cellStyle name="Comma 16 2 3 2 2 2 5" xfId="3105" xr:uid="{00000000-0005-0000-0000-00006A010000}"/>
    <cellStyle name="Comma 16 2 3 2 2 3" xfId="904" xr:uid="{00000000-0005-0000-0000-00006B010000}"/>
    <cellStyle name="Comma 16 2 3 2 2 3 2" xfId="2487" xr:uid="{00000000-0005-0000-0000-00006C010000}"/>
    <cellStyle name="Comma 16 2 3 2 2 3 2 2" xfId="4069" xr:uid="{00000000-0005-0000-0000-00006D010000}"/>
    <cellStyle name="Comma 16 2 3 2 2 3 3" xfId="1696" xr:uid="{00000000-0005-0000-0000-00006E010000}"/>
    <cellStyle name="Comma 16 2 3 2 2 3 4" xfId="3278" xr:uid="{00000000-0005-0000-0000-00006F010000}"/>
    <cellStyle name="Comma 16 2 3 2 2 4" xfId="2093" xr:uid="{00000000-0005-0000-0000-000070010000}"/>
    <cellStyle name="Comma 16 2 3 2 2 4 2" xfId="3675" xr:uid="{00000000-0005-0000-0000-000071010000}"/>
    <cellStyle name="Comma 16 2 3 2 2 5" xfId="1302" xr:uid="{00000000-0005-0000-0000-000072010000}"/>
    <cellStyle name="Comma 16 2 3 2 2 6" xfId="2884" xr:uid="{00000000-0005-0000-0000-000073010000}"/>
    <cellStyle name="Comma 16 2 3 2 3" xfId="574" xr:uid="{00000000-0005-0000-0000-000074010000}"/>
    <cellStyle name="Comma 16 2 3 2 3 2" xfId="981" xr:uid="{00000000-0005-0000-0000-000075010000}"/>
    <cellStyle name="Comma 16 2 3 2 3 2 2" xfId="2564" xr:uid="{00000000-0005-0000-0000-000076010000}"/>
    <cellStyle name="Comma 16 2 3 2 3 2 2 2" xfId="4146" xr:uid="{00000000-0005-0000-0000-000077010000}"/>
    <cellStyle name="Comma 16 2 3 2 3 2 3" xfId="1773" xr:uid="{00000000-0005-0000-0000-000078010000}"/>
    <cellStyle name="Comma 16 2 3 2 3 2 4" xfId="3355" xr:uid="{00000000-0005-0000-0000-000079010000}"/>
    <cellStyle name="Comma 16 2 3 2 3 3" xfId="2170" xr:uid="{00000000-0005-0000-0000-00007A010000}"/>
    <cellStyle name="Comma 16 2 3 2 3 3 2" xfId="3752" xr:uid="{00000000-0005-0000-0000-00007B010000}"/>
    <cellStyle name="Comma 16 2 3 2 3 4" xfId="1379" xr:uid="{00000000-0005-0000-0000-00007C010000}"/>
    <cellStyle name="Comma 16 2 3 2 3 5" xfId="2961" xr:uid="{00000000-0005-0000-0000-00007D010000}"/>
    <cellStyle name="Comma 16 2 3 2 4" xfId="649" xr:uid="{00000000-0005-0000-0000-00007E010000}"/>
    <cellStyle name="Comma 16 2 3 2 4 2" xfId="1049" xr:uid="{00000000-0005-0000-0000-00007F010000}"/>
    <cellStyle name="Comma 16 2 3 2 4 2 2" xfId="2632" xr:uid="{00000000-0005-0000-0000-000080010000}"/>
    <cellStyle name="Comma 16 2 3 2 4 2 2 2" xfId="4214" xr:uid="{00000000-0005-0000-0000-000081010000}"/>
    <cellStyle name="Comma 16 2 3 2 4 2 3" xfId="1841" xr:uid="{00000000-0005-0000-0000-000082010000}"/>
    <cellStyle name="Comma 16 2 3 2 4 2 4" xfId="3423" xr:uid="{00000000-0005-0000-0000-000083010000}"/>
    <cellStyle name="Comma 16 2 3 2 4 3" xfId="2238" xr:uid="{00000000-0005-0000-0000-000084010000}"/>
    <cellStyle name="Comma 16 2 3 2 4 3 2" xfId="3820" xr:uid="{00000000-0005-0000-0000-000085010000}"/>
    <cellStyle name="Comma 16 2 3 2 4 4" xfId="1447" xr:uid="{00000000-0005-0000-0000-000086010000}"/>
    <cellStyle name="Comma 16 2 3 2 4 5" xfId="3029" xr:uid="{00000000-0005-0000-0000-000087010000}"/>
    <cellStyle name="Comma 16 2 3 2 5" xfId="828" xr:uid="{00000000-0005-0000-0000-000088010000}"/>
    <cellStyle name="Comma 16 2 3 2 5 2" xfId="2411" xr:uid="{00000000-0005-0000-0000-000089010000}"/>
    <cellStyle name="Comma 16 2 3 2 5 2 2" xfId="3993" xr:uid="{00000000-0005-0000-0000-00008A010000}"/>
    <cellStyle name="Comma 16 2 3 2 5 3" xfId="1620" xr:uid="{00000000-0005-0000-0000-00008B010000}"/>
    <cellStyle name="Comma 16 2 3 2 5 4" xfId="3202" xr:uid="{00000000-0005-0000-0000-00008C010000}"/>
    <cellStyle name="Comma 16 2 3 2 6" xfId="2017" xr:uid="{00000000-0005-0000-0000-00008D010000}"/>
    <cellStyle name="Comma 16 2 3 2 6 2" xfId="3599" xr:uid="{00000000-0005-0000-0000-00008E010000}"/>
    <cellStyle name="Comma 16 2 3 2 7" xfId="1226" xr:uid="{00000000-0005-0000-0000-00008F010000}"/>
    <cellStyle name="Comma 16 2 3 2 8" xfId="2808" xr:uid="{00000000-0005-0000-0000-000090010000}"/>
    <cellStyle name="Comma 16 2 3 3" xfId="456" xr:uid="{00000000-0005-0000-0000-000091010000}"/>
    <cellStyle name="Comma 16 2 3 3 2" xfId="684" xr:uid="{00000000-0005-0000-0000-000092010000}"/>
    <cellStyle name="Comma 16 2 3 3 2 2" xfId="1084" xr:uid="{00000000-0005-0000-0000-000093010000}"/>
    <cellStyle name="Comma 16 2 3 3 2 2 2" xfId="2667" xr:uid="{00000000-0005-0000-0000-000094010000}"/>
    <cellStyle name="Comma 16 2 3 3 2 2 2 2" xfId="4249" xr:uid="{00000000-0005-0000-0000-000095010000}"/>
    <cellStyle name="Comma 16 2 3 3 2 2 3" xfId="1876" xr:uid="{00000000-0005-0000-0000-000096010000}"/>
    <cellStyle name="Comma 16 2 3 3 2 2 4" xfId="3458" xr:uid="{00000000-0005-0000-0000-000097010000}"/>
    <cellStyle name="Comma 16 2 3 3 2 3" xfId="2273" xr:uid="{00000000-0005-0000-0000-000098010000}"/>
    <cellStyle name="Comma 16 2 3 3 2 3 2" xfId="3855" xr:uid="{00000000-0005-0000-0000-000099010000}"/>
    <cellStyle name="Comma 16 2 3 3 2 4" xfId="1482" xr:uid="{00000000-0005-0000-0000-00009A010000}"/>
    <cellStyle name="Comma 16 2 3 3 2 5" xfId="3064" xr:uid="{00000000-0005-0000-0000-00009B010000}"/>
    <cellStyle name="Comma 16 2 3 3 3" xfId="863" xr:uid="{00000000-0005-0000-0000-00009C010000}"/>
    <cellStyle name="Comma 16 2 3 3 3 2" xfId="2446" xr:uid="{00000000-0005-0000-0000-00009D010000}"/>
    <cellStyle name="Comma 16 2 3 3 3 2 2" xfId="4028" xr:uid="{00000000-0005-0000-0000-00009E010000}"/>
    <cellStyle name="Comma 16 2 3 3 3 3" xfId="1655" xr:uid="{00000000-0005-0000-0000-00009F010000}"/>
    <cellStyle name="Comma 16 2 3 3 3 4" xfId="3237" xr:uid="{00000000-0005-0000-0000-0000A0010000}"/>
    <cellStyle name="Comma 16 2 3 3 4" xfId="2052" xr:uid="{00000000-0005-0000-0000-0000A1010000}"/>
    <cellStyle name="Comma 16 2 3 3 4 2" xfId="3634" xr:uid="{00000000-0005-0000-0000-0000A2010000}"/>
    <cellStyle name="Comma 16 2 3 3 5" xfId="1261" xr:uid="{00000000-0005-0000-0000-0000A3010000}"/>
    <cellStyle name="Comma 16 2 3 3 6" xfId="2843" xr:uid="{00000000-0005-0000-0000-0000A4010000}"/>
    <cellStyle name="Comma 16 2 3 4" xfId="533" xr:uid="{00000000-0005-0000-0000-0000A5010000}"/>
    <cellStyle name="Comma 16 2 3 4 2" xfId="940" xr:uid="{00000000-0005-0000-0000-0000A6010000}"/>
    <cellStyle name="Comma 16 2 3 4 2 2" xfId="2523" xr:uid="{00000000-0005-0000-0000-0000A7010000}"/>
    <cellStyle name="Comma 16 2 3 4 2 2 2" xfId="4105" xr:uid="{00000000-0005-0000-0000-0000A8010000}"/>
    <cellStyle name="Comma 16 2 3 4 2 3" xfId="1732" xr:uid="{00000000-0005-0000-0000-0000A9010000}"/>
    <cellStyle name="Comma 16 2 3 4 2 4" xfId="3314" xr:uid="{00000000-0005-0000-0000-0000AA010000}"/>
    <cellStyle name="Comma 16 2 3 4 3" xfId="2129" xr:uid="{00000000-0005-0000-0000-0000AB010000}"/>
    <cellStyle name="Comma 16 2 3 4 3 2" xfId="3711" xr:uid="{00000000-0005-0000-0000-0000AC010000}"/>
    <cellStyle name="Comma 16 2 3 4 4" xfId="1338" xr:uid="{00000000-0005-0000-0000-0000AD010000}"/>
    <cellStyle name="Comma 16 2 3 4 5" xfId="2920" xr:uid="{00000000-0005-0000-0000-0000AE010000}"/>
    <cellStyle name="Comma 16 2 3 5" xfId="608" xr:uid="{00000000-0005-0000-0000-0000AF010000}"/>
    <cellStyle name="Comma 16 2 3 5 2" xfId="1008" xr:uid="{00000000-0005-0000-0000-0000B0010000}"/>
    <cellStyle name="Comma 16 2 3 5 2 2" xfId="2591" xr:uid="{00000000-0005-0000-0000-0000B1010000}"/>
    <cellStyle name="Comma 16 2 3 5 2 2 2" xfId="4173" xr:uid="{00000000-0005-0000-0000-0000B2010000}"/>
    <cellStyle name="Comma 16 2 3 5 2 3" xfId="1800" xr:uid="{00000000-0005-0000-0000-0000B3010000}"/>
    <cellStyle name="Comma 16 2 3 5 2 4" xfId="3382" xr:uid="{00000000-0005-0000-0000-0000B4010000}"/>
    <cellStyle name="Comma 16 2 3 5 3" xfId="2197" xr:uid="{00000000-0005-0000-0000-0000B5010000}"/>
    <cellStyle name="Comma 16 2 3 5 3 2" xfId="3779" xr:uid="{00000000-0005-0000-0000-0000B6010000}"/>
    <cellStyle name="Comma 16 2 3 5 4" xfId="1406" xr:uid="{00000000-0005-0000-0000-0000B7010000}"/>
    <cellStyle name="Comma 16 2 3 5 5" xfId="2988" xr:uid="{00000000-0005-0000-0000-0000B8010000}"/>
    <cellStyle name="Comma 16 2 3 6" xfId="760" xr:uid="{00000000-0005-0000-0000-0000B9010000}"/>
    <cellStyle name="Comma 16 2 3 6 2" xfId="1160" xr:uid="{00000000-0005-0000-0000-0000BA010000}"/>
    <cellStyle name="Comma 16 2 3 6 2 2" xfId="2743" xr:uid="{00000000-0005-0000-0000-0000BB010000}"/>
    <cellStyle name="Comma 16 2 3 6 2 2 2" xfId="4325" xr:uid="{00000000-0005-0000-0000-0000BC010000}"/>
    <cellStyle name="Comma 16 2 3 6 2 3" xfId="1952" xr:uid="{00000000-0005-0000-0000-0000BD010000}"/>
    <cellStyle name="Comma 16 2 3 6 2 4" xfId="3534" xr:uid="{00000000-0005-0000-0000-0000BE010000}"/>
    <cellStyle name="Comma 16 2 3 6 3" xfId="2349" xr:uid="{00000000-0005-0000-0000-0000BF010000}"/>
    <cellStyle name="Comma 16 2 3 6 3 2" xfId="3931" xr:uid="{00000000-0005-0000-0000-0000C0010000}"/>
    <cellStyle name="Comma 16 2 3 6 4" xfId="1558" xr:uid="{00000000-0005-0000-0000-0000C1010000}"/>
    <cellStyle name="Comma 16 2 3 6 5" xfId="3140" xr:uid="{00000000-0005-0000-0000-0000C2010000}"/>
    <cellStyle name="Comma 16 2 3 7" xfId="787" xr:uid="{00000000-0005-0000-0000-0000C3010000}"/>
    <cellStyle name="Comma 16 2 3 7 2" xfId="2370" xr:uid="{00000000-0005-0000-0000-0000C4010000}"/>
    <cellStyle name="Comma 16 2 3 7 2 2" xfId="3952" xr:uid="{00000000-0005-0000-0000-0000C5010000}"/>
    <cellStyle name="Comma 16 2 3 7 3" xfId="1579" xr:uid="{00000000-0005-0000-0000-0000C6010000}"/>
    <cellStyle name="Comma 16 2 3 7 4" xfId="3161" xr:uid="{00000000-0005-0000-0000-0000C7010000}"/>
    <cellStyle name="Comma 16 2 3 8" xfId="1976" xr:uid="{00000000-0005-0000-0000-0000C8010000}"/>
    <cellStyle name="Comma 16 2 3 8 2" xfId="3558" xr:uid="{00000000-0005-0000-0000-0000C9010000}"/>
    <cellStyle name="Comma 16 2 3 9" xfId="1185" xr:uid="{00000000-0005-0000-0000-0000CA010000}"/>
    <cellStyle name="Comma 16 2 4" xfId="356" xr:uid="{00000000-0005-0000-0000-0000CB010000}"/>
    <cellStyle name="Comma 16 2 4 2" xfId="477" xr:uid="{00000000-0005-0000-0000-0000CC010000}"/>
    <cellStyle name="Comma 16 2 4 2 2" xfId="705" xr:uid="{00000000-0005-0000-0000-0000CD010000}"/>
    <cellStyle name="Comma 16 2 4 2 2 2" xfId="1105" xr:uid="{00000000-0005-0000-0000-0000CE010000}"/>
    <cellStyle name="Comma 16 2 4 2 2 2 2" xfId="2688" xr:uid="{00000000-0005-0000-0000-0000CF010000}"/>
    <cellStyle name="Comma 16 2 4 2 2 2 2 2" xfId="4270" xr:uid="{00000000-0005-0000-0000-0000D0010000}"/>
    <cellStyle name="Comma 16 2 4 2 2 2 3" xfId="1897" xr:uid="{00000000-0005-0000-0000-0000D1010000}"/>
    <cellStyle name="Comma 16 2 4 2 2 2 4" xfId="3479" xr:uid="{00000000-0005-0000-0000-0000D2010000}"/>
    <cellStyle name="Comma 16 2 4 2 2 3" xfId="2294" xr:uid="{00000000-0005-0000-0000-0000D3010000}"/>
    <cellStyle name="Comma 16 2 4 2 2 3 2" xfId="3876" xr:uid="{00000000-0005-0000-0000-0000D4010000}"/>
    <cellStyle name="Comma 16 2 4 2 2 4" xfId="1503" xr:uid="{00000000-0005-0000-0000-0000D5010000}"/>
    <cellStyle name="Comma 16 2 4 2 2 5" xfId="3085" xr:uid="{00000000-0005-0000-0000-0000D6010000}"/>
    <cellStyle name="Comma 16 2 4 2 3" xfId="884" xr:uid="{00000000-0005-0000-0000-0000D7010000}"/>
    <cellStyle name="Comma 16 2 4 2 3 2" xfId="2467" xr:uid="{00000000-0005-0000-0000-0000D8010000}"/>
    <cellStyle name="Comma 16 2 4 2 3 2 2" xfId="4049" xr:uid="{00000000-0005-0000-0000-0000D9010000}"/>
    <cellStyle name="Comma 16 2 4 2 3 3" xfId="1676" xr:uid="{00000000-0005-0000-0000-0000DA010000}"/>
    <cellStyle name="Comma 16 2 4 2 3 4" xfId="3258" xr:uid="{00000000-0005-0000-0000-0000DB010000}"/>
    <cellStyle name="Comma 16 2 4 2 4" xfId="2073" xr:uid="{00000000-0005-0000-0000-0000DC010000}"/>
    <cellStyle name="Comma 16 2 4 2 4 2" xfId="3655" xr:uid="{00000000-0005-0000-0000-0000DD010000}"/>
    <cellStyle name="Comma 16 2 4 2 5" xfId="1282" xr:uid="{00000000-0005-0000-0000-0000DE010000}"/>
    <cellStyle name="Comma 16 2 4 2 6" xfId="2864" xr:uid="{00000000-0005-0000-0000-0000DF010000}"/>
    <cellStyle name="Comma 16 2 4 3" xfId="554" xr:uid="{00000000-0005-0000-0000-0000E0010000}"/>
    <cellStyle name="Comma 16 2 4 3 2" xfId="961" xr:uid="{00000000-0005-0000-0000-0000E1010000}"/>
    <cellStyle name="Comma 16 2 4 3 2 2" xfId="2544" xr:uid="{00000000-0005-0000-0000-0000E2010000}"/>
    <cellStyle name="Comma 16 2 4 3 2 2 2" xfId="4126" xr:uid="{00000000-0005-0000-0000-0000E3010000}"/>
    <cellStyle name="Comma 16 2 4 3 2 3" xfId="1753" xr:uid="{00000000-0005-0000-0000-0000E4010000}"/>
    <cellStyle name="Comma 16 2 4 3 2 4" xfId="3335" xr:uid="{00000000-0005-0000-0000-0000E5010000}"/>
    <cellStyle name="Comma 16 2 4 3 3" xfId="2150" xr:uid="{00000000-0005-0000-0000-0000E6010000}"/>
    <cellStyle name="Comma 16 2 4 3 3 2" xfId="3732" xr:uid="{00000000-0005-0000-0000-0000E7010000}"/>
    <cellStyle name="Comma 16 2 4 3 4" xfId="1359" xr:uid="{00000000-0005-0000-0000-0000E8010000}"/>
    <cellStyle name="Comma 16 2 4 3 5" xfId="2941" xr:uid="{00000000-0005-0000-0000-0000E9010000}"/>
    <cellStyle name="Comma 16 2 4 4" xfId="629" xr:uid="{00000000-0005-0000-0000-0000EA010000}"/>
    <cellStyle name="Comma 16 2 4 4 2" xfId="1029" xr:uid="{00000000-0005-0000-0000-0000EB010000}"/>
    <cellStyle name="Comma 16 2 4 4 2 2" xfId="2612" xr:uid="{00000000-0005-0000-0000-0000EC010000}"/>
    <cellStyle name="Comma 16 2 4 4 2 2 2" xfId="4194" xr:uid="{00000000-0005-0000-0000-0000ED010000}"/>
    <cellStyle name="Comma 16 2 4 4 2 3" xfId="1821" xr:uid="{00000000-0005-0000-0000-0000EE010000}"/>
    <cellStyle name="Comma 16 2 4 4 2 4" xfId="3403" xr:uid="{00000000-0005-0000-0000-0000EF010000}"/>
    <cellStyle name="Comma 16 2 4 4 3" xfId="2218" xr:uid="{00000000-0005-0000-0000-0000F0010000}"/>
    <cellStyle name="Comma 16 2 4 4 3 2" xfId="3800" xr:uid="{00000000-0005-0000-0000-0000F1010000}"/>
    <cellStyle name="Comma 16 2 4 4 4" xfId="1427" xr:uid="{00000000-0005-0000-0000-0000F2010000}"/>
    <cellStyle name="Comma 16 2 4 4 5" xfId="3009" xr:uid="{00000000-0005-0000-0000-0000F3010000}"/>
    <cellStyle name="Comma 16 2 4 5" xfId="808" xr:uid="{00000000-0005-0000-0000-0000F4010000}"/>
    <cellStyle name="Comma 16 2 4 5 2" xfId="2391" xr:uid="{00000000-0005-0000-0000-0000F5010000}"/>
    <cellStyle name="Comma 16 2 4 5 2 2" xfId="3973" xr:uid="{00000000-0005-0000-0000-0000F6010000}"/>
    <cellStyle name="Comma 16 2 4 5 3" xfId="1600" xr:uid="{00000000-0005-0000-0000-0000F7010000}"/>
    <cellStyle name="Comma 16 2 4 5 4" xfId="3182" xr:uid="{00000000-0005-0000-0000-0000F8010000}"/>
    <cellStyle name="Comma 16 2 4 6" xfId="1997" xr:uid="{00000000-0005-0000-0000-0000F9010000}"/>
    <cellStyle name="Comma 16 2 4 6 2" xfId="3579" xr:uid="{00000000-0005-0000-0000-0000FA010000}"/>
    <cellStyle name="Comma 16 2 4 7" xfId="1206" xr:uid="{00000000-0005-0000-0000-0000FB010000}"/>
    <cellStyle name="Comma 16 2 4 8" xfId="2788" xr:uid="{00000000-0005-0000-0000-0000FC010000}"/>
    <cellStyle name="Comma 16 2 5" xfId="440" xr:uid="{00000000-0005-0000-0000-0000FD010000}"/>
    <cellStyle name="Comma 16 2 5 2" xfId="516" xr:uid="{00000000-0005-0000-0000-0000FE010000}"/>
    <cellStyle name="Comma 16 2 5 2 2" xfId="744" xr:uid="{00000000-0005-0000-0000-0000FF010000}"/>
    <cellStyle name="Comma 16 2 5 2 2 2" xfId="1144" xr:uid="{00000000-0005-0000-0000-000000020000}"/>
    <cellStyle name="Comma 16 2 5 2 2 2 2" xfId="2727" xr:uid="{00000000-0005-0000-0000-000001020000}"/>
    <cellStyle name="Comma 16 2 5 2 2 2 2 2" xfId="4309" xr:uid="{00000000-0005-0000-0000-000002020000}"/>
    <cellStyle name="Comma 16 2 5 2 2 2 3" xfId="1936" xr:uid="{00000000-0005-0000-0000-000003020000}"/>
    <cellStyle name="Comma 16 2 5 2 2 2 4" xfId="3518" xr:uid="{00000000-0005-0000-0000-000004020000}"/>
    <cellStyle name="Comma 16 2 5 2 2 3" xfId="2333" xr:uid="{00000000-0005-0000-0000-000005020000}"/>
    <cellStyle name="Comma 16 2 5 2 2 3 2" xfId="3915" xr:uid="{00000000-0005-0000-0000-000006020000}"/>
    <cellStyle name="Comma 16 2 5 2 2 4" xfId="1542" xr:uid="{00000000-0005-0000-0000-000007020000}"/>
    <cellStyle name="Comma 16 2 5 2 2 5" xfId="3124" xr:uid="{00000000-0005-0000-0000-000008020000}"/>
    <cellStyle name="Comma 16 2 5 2 3" xfId="923" xr:uid="{00000000-0005-0000-0000-000009020000}"/>
    <cellStyle name="Comma 16 2 5 2 3 2" xfId="2506" xr:uid="{00000000-0005-0000-0000-00000A020000}"/>
    <cellStyle name="Comma 16 2 5 2 3 2 2" xfId="4088" xr:uid="{00000000-0005-0000-0000-00000B020000}"/>
    <cellStyle name="Comma 16 2 5 2 3 3" xfId="1715" xr:uid="{00000000-0005-0000-0000-00000C020000}"/>
    <cellStyle name="Comma 16 2 5 2 3 4" xfId="3297" xr:uid="{00000000-0005-0000-0000-00000D020000}"/>
    <cellStyle name="Comma 16 2 5 2 4" xfId="2112" xr:uid="{00000000-0005-0000-0000-00000E020000}"/>
    <cellStyle name="Comma 16 2 5 2 4 2" xfId="3694" xr:uid="{00000000-0005-0000-0000-00000F020000}"/>
    <cellStyle name="Comma 16 2 5 2 5" xfId="1321" xr:uid="{00000000-0005-0000-0000-000010020000}"/>
    <cellStyle name="Comma 16 2 5 2 6" xfId="2903" xr:uid="{00000000-0005-0000-0000-000011020000}"/>
    <cellStyle name="Comma 16 2 5 3" xfId="668" xr:uid="{00000000-0005-0000-0000-000012020000}"/>
    <cellStyle name="Comma 16 2 5 3 2" xfId="1068" xr:uid="{00000000-0005-0000-0000-000013020000}"/>
    <cellStyle name="Comma 16 2 5 3 2 2" xfId="2651" xr:uid="{00000000-0005-0000-0000-000014020000}"/>
    <cellStyle name="Comma 16 2 5 3 2 2 2" xfId="4233" xr:uid="{00000000-0005-0000-0000-000015020000}"/>
    <cellStyle name="Comma 16 2 5 3 2 3" xfId="1860" xr:uid="{00000000-0005-0000-0000-000016020000}"/>
    <cellStyle name="Comma 16 2 5 3 2 4" xfId="3442" xr:uid="{00000000-0005-0000-0000-000017020000}"/>
    <cellStyle name="Comma 16 2 5 3 3" xfId="2257" xr:uid="{00000000-0005-0000-0000-000018020000}"/>
    <cellStyle name="Comma 16 2 5 3 3 2" xfId="3839" xr:uid="{00000000-0005-0000-0000-000019020000}"/>
    <cellStyle name="Comma 16 2 5 3 4" xfId="1466" xr:uid="{00000000-0005-0000-0000-00001A020000}"/>
    <cellStyle name="Comma 16 2 5 3 5" xfId="3048" xr:uid="{00000000-0005-0000-0000-00001B020000}"/>
    <cellStyle name="Comma 16 2 5 4" xfId="847" xr:uid="{00000000-0005-0000-0000-00001C020000}"/>
    <cellStyle name="Comma 16 2 5 4 2" xfId="2430" xr:uid="{00000000-0005-0000-0000-00001D020000}"/>
    <cellStyle name="Comma 16 2 5 4 2 2" xfId="4012" xr:uid="{00000000-0005-0000-0000-00001E020000}"/>
    <cellStyle name="Comma 16 2 5 4 3" xfId="1639" xr:uid="{00000000-0005-0000-0000-00001F020000}"/>
    <cellStyle name="Comma 16 2 5 4 4" xfId="3221" xr:uid="{00000000-0005-0000-0000-000020020000}"/>
    <cellStyle name="Comma 16 2 5 5" xfId="2036" xr:uid="{00000000-0005-0000-0000-000021020000}"/>
    <cellStyle name="Comma 16 2 5 5 2" xfId="3618" xr:uid="{00000000-0005-0000-0000-000022020000}"/>
    <cellStyle name="Comma 16 2 5 6" xfId="1245" xr:uid="{00000000-0005-0000-0000-000023020000}"/>
    <cellStyle name="Comma 16 2 5 7" xfId="2827" xr:uid="{00000000-0005-0000-0000-000024020000}"/>
    <cellStyle name="Comma 16 2 6" xfId="446" xr:uid="{00000000-0005-0000-0000-000025020000}"/>
    <cellStyle name="Comma 16 2 6 2" xfId="674" xr:uid="{00000000-0005-0000-0000-000026020000}"/>
    <cellStyle name="Comma 16 2 6 2 2" xfId="1074" xr:uid="{00000000-0005-0000-0000-000027020000}"/>
    <cellStyle name="Comma 16 2 6 2 2 2" xfId="2657" xr:uid="{00000000-0005-0000-0000-000028020000}"/>
    <cellStyle name="Comma 16 2 6 2 2 2 2" xfId="4239" xr:uid="{00000000-0005-0000-0000-000029020000}"/>
    <cellStyle name="Comma 16 2 6 2 2 3" xfId="1866" xr:uid="{00000000-0005-0000-0000-00002A020000}"/>
    <cellStyle name="Comma 16 2 6 2 2 4" xfId="3448" xr:uid="{00000000-0005-0000-0000-00002B020000}"/>
    <cellStyle name="Comma 16 2 6 2 3" xfId="2263" xr:uid="{00000000-0005-0000-0000-00002C020000}"/>
    <cellStyle name="Comma 16 2 6 2 3 2" xfId="3845" xr:uid="{00000000-0005-0000-0000-00002D020000}"/>
    <cellStyle name="Comma 16 2 6 2 4" xfId="1472" xr:uid="{00000000-0005-0000-0000-00002E020000}"/>
    <cellStyle name="Comma 16 2 6 2 5" xfId="3054" xr:uid="{00000000-0005-0000-0000-00002F020000}"/>
    <cellStyle name="Comma 16 2 6 3" xfId="853" xr:uid="{00000000-0005-0000-0000-000030020000}"/>
    <cellStyle name="Comma 16 2 6 3 2" xfId="2436" xr:uid="{00000000-0005-0000-0000-000031020000}"/>
    <cellStyle name="Comma 16 2 6 3 2 2" xfId="4018" xr:uid="{00000000-0005-0000-0000-000032020000}"/>
    <cellStyle name="Comma 16 2 6 3 3" xfId="1645" xr:uid="{00000000-0005-0000-0000-000033020000}"/>
    <cellStyle name="Comma 16 2 6 3 4" xfId="3227" xr:uid="{00000000-0005-0000-0000-000034020000}"/>
    <cellStyle name="Comma 16 2 6 4" xfId="2042" xr:uid="{00000000-0005-0000-0000-000035020000}"/>
    <cellStyle name="Comma 16 2 6 4 2" xfId="3624" xr:uid="{00000000-0005-0000-0000-000036020000}"/>
    <cellStyle name="Comma 16 2 6 5" xfId="1251" xr:uid="{00000000-0005-0000-0000-000037020000}"/>
    <cellStyle name="Comma 16 2 6 6" xfId="2833" xr:uid="{00000000-0005-0000-0000-000038020000}"/>
    <cellStyle name="Comma 16 2 7" xfId="522" xr:uid="{00000000-0005-0000-0000-000039020000}"/>
    <cellStyle name="Comma 16 2 7 2" xfId="929" xr:uid="{00000000-0005-0000-0000-00003A020000}"/>
    <cellStyle name="Comma 16 2 7 2 2" xfId="2512" xr:uid="{00000000-0005-0000-0000-00003B020000}"/>
    <cellStyle name="Comma 16 2 7 2 2 2" xfId="4094" xr:uid="{00000000-0005-0000-0000-00003C020000}"/>
    <cellStyle name="Comma 16 2 7 2 3" xfId="1721" xr:uid="{00000000-0005-0000-0000-00003D020000}"/>
    <cellStyle name="Comma 16 2 7 2 4" xfId="3303" xr:uid="{00000000-0005-0000-0000-00003E020000}"/>
    <cellStyle name="Comma 16 2 7 3" xfId="2118" xr:uid="{00000000-0005-0000-0000-00003F020000}"/>
    <cellStyle name="Comma 16 2 7 3 2" xfId="3700" xr:uid="{00000000-0005-0000-0000-000040020000}"/>
    <cellStyle name="Comma 16 2 7 4" xfId="1327" xr:uid="{00000000-0005-0000-0000-000041020000}"/>
    <cellStyle name="Comma 16 2 7 5" xfId="2909" xr:uid="{00000000-0005-0000-0000-000042020000}"/>
    <cellStyle name="Comma 16 2 8" xfId="598" xr:uid="{00000000-0005-0000-0000-000043020000}"/>
    <cellStyle name="Comma 16 2 8 2" xfId="998" xr:uid="{00000000-0005-0000-0000-000044020000}"/>
    <cellStyle name="Comma 16 2 8 2 2" xfId="2581" xr:uid="{00000000-0005-0000-0000-000045020000}"/>
    <cellStyle name="Comma 16 2 8 2 2 2" xfId="4163" xr:uid="{00000000-0005-0000-0000-000046020000}"/>
    <cellStyle name="Comma 16 2 8 2 3" xfId="1790" xr:uid="{00000000-0005-0000-0000-000047020000}"/>
    <cellStyle name="Comma 16 2 8 2 4" xfId="3372" xr:uid="{00000000-0005-0000-0000-000048020000}"/>
    <cellStyle name="Comma 16 2 8 3" xfId="2187" xr:uid="{00000000-0005-0000-0000-000049020000}"/>
    <cellStyle name="Comma 16 2 8 3 2" xfId="3769" xr:uid="{00000000-0005-0000-0000-00004A020000}"/>
    <cellStyle name="Comma 16 2 8 4" xfId="1396" xr:uid="{00000000-0005-0000-0000-00004B020000}"/>
    <cellStyle name="Comma 16 2 8 5" xfId="2978" xr:uid="{00000000-0005-0000-0000-00004C020000}"/>
    <cellStyle name="Comma 16 2 9" xfId="750" xr:uid="{00000000-0005-0000-0000-00004D020000}"/>
    <cellStyle name="Comma 16 2 9 2" xfId="1150" xr:uid="{00000000-0005-0000-0000-00004E020000}"/>
    <cellStyle name="Comma 16 2 9 2 2" xfId="2733" xr:uid="{00000000-0005-0000-0000-00004F020000}"/>
    <cellStyle name="Comma 16 2 9 2 2 2" xfId="4315" xr:uid="{00000000-0005-0000-0000-000050020000}"/>
    <cellStyle name="Comma 16 2 9 2 3" xfId="1942" xr:uid="{00000000-0005-0000-0000-000051020000}"/>
    <cellStyle name="Comma 16 2 9 2 4" xfId="3524" xr:uid="{00000000-0005-0000-0000-000052020000}"/>
    <cellStyle name="Comma 16 2 9 3" xfId="2339" xr:uid="{00000000-0005-0000-0000-000053020000}"/>
    <cellStyle name="Comma 16 2 9 3 2" xfId="3921" xr:uid="{00000000-0005-0000-0000-000054020000}"/>
    <cellStyle name="Comma 16 2 9 4" xfId="1548" xr:uid="{00000000-0005-0000-0000-000055020000}"/>
    <cellStyle name="Comma 16 2 9 5" xfId="3130" xr:uid="{00000000-0005-0000-0000-000056020000}"/>
    <cellStyle name="Comma 16 3" xfId="128" xr:uid="{00000000-0005-0000-0000-000057020000}"/>
    <cellStyle name="Comma 16 3 2" xfId="321" xr:uid="{00000000-0005-0000-0000-000058020000}"/>
    <cellStyle name="Comma 16 3 2 2" xfId="336" xr:uid="{00000000-0005-0000-0000-000059020000}"/>
    <cellStyle name="Comma 16 3 2 2 2" xfId="422" xr:uid="{00000000-0005-0000-0000-00005A020000}"/>
    <cellStyle name="Comma 16 3 2 2 2 2" xfId="4714" xr:uid="{306D71EE-1D19-4086-9764-2A4E6FD655FC}"/>
    <cellStyle name="Comma 16 3 2 2 2 2 2" xfId="5035" xr:uid="{B2008773-40CD-43A0-AD07-E52898E94216}"/>
    <cellStyle name="Comma 16 3 2 2 2 3" xfId="4808" xr:uid="{0B4FF4B7-ADA7-4474-A836-897FC4588A57}"/>
    <cellStyle name="Comma 16 3 2 2 2 3 2" xfId="5101" xr:uid="{D3FC74A8-5B2B-45D2-A2EE-328F0834F830}"/>
    <cellStyle name="Comma 16 3 2 2 2 4" xfId="4519" xr:uid="{88066FFB-6981-46A0-85B7-660913CF8FF1}"/>
    <cellStyle name="Comma 16 3 2 2 2 5" xfId="4915" xr:uid="{50DDCDFB-F14E-4541-8637-4291D8A9567D}"/>
    <cellStyle name="Comma 16 3 2 2 3" xfId="4713" xr:uid="{31FD32D2-ABAC-4EC3-85D3-6BC770204126}"/>
    <cellStyle name="Comma 16 3 2 2 3 2" xfId="5034" xr:uid="{24E0AFF7-E51A-4E07-A1ED-9D0935273B45}"/>
    <cellStyle name="Comma 16 3 2 2 4" xfId="4809" xr:uid="{B090ADF7-0DC1-489B-AE73-5B088B9A8A42}"/>
    <cellStyle name="Comma 16 3 2 2 4 2" xfId="5102" xr:uid="{48D9C035-C1CD-4C36-AF25-75051BC813A7}"/>
    <cellStyle name="Comma 16 3 2 2 5" xfId="4518" xr:uid="{7E3DEB99-4962-4F9B-B1B9-79174DCA138E}"/>
    <cellStyle name="Comma 16 3 2 2 6" xfId="4914" xr:uid="{A4E7825A-4A47-4238-993D-C2B3D3CD0A79}"/>
    <cellStyle name="Comma 16 3 2 3" xfId="407" xr:uid="{00000000-0005-0000-0000-00005B020000}"/>
    <cellStyle name="Comma 16 3 2 3 2" xfId="4715" xr:uid="{0525A32E-D943-4555-863D-2242984AE6FA}"/>
    <cellStyle name="Comma 16 3 2 3 2 2" xfId="5036" xr:uid="{35BD731A-F451-40D3-8DDB-1F37E94375DD}"/>
    <cellStyle name="Comma 16 3 2 3 3" xfId="4810" xr:uid="{09C3DE66-0495-4695-84C8-5752349C67DF}"/>
    <cellStyle name="Comma 16 3 2 3 3 2" xfId="5103" xr:uid="{2A2A9356-BA6C-4AE8-A534-D7BC69CA333B}"/>
    <cellStyle name="Comma 16 3 2 3 4" xfId="4520" xr:uid="{B19BE06F-455A-42FB-8100-1E5515996A3A}"/>
    <cellStyle name="Comma 16 3 2 3 5" xfId="4916" xr:uid="{C45814CA-989B-472E-8B23-5692F9CA6746}"/>
    <cellStyle name="Comma 16 3 2 4" xfId="4712" xr:uid="{AA143FA1-8E18-42A4-9138-79545504B1F6}"/>
    <cellStyle name="Comma 16 3 2 4 2" xfId="5033" xr:uid="{82C85C9D-AC1E-4A2F-B422-05ECD357CDCF}"/>
    <cellStyle name="Comma 16 3 2 5" xfId="4811" xr:uid="{854794BB-2AB5-4EDF-924F-0E0435D81F28}"/>
    <cellStyle name="Comma 16 3 2 5 2" xfId="5104" xr:uid="{04A0EDB2-02E7-495A-8060-05810EB46382}"/>
    <cellStyle name="Comma 16 3 2 6" xfId="4517" xr:uid="{CE4C0EA4-F23C-4931-BEE2-DDE8ECC4DA71}"/>
    <cellStyle name="Comma 16 3 2 7" xfId="4913" xr:uid="{C78502FF-17DD-405D-B926-772EADAE2D5A}"/>
    <cellStyle name="Comma 16 3 3" xfId="329" xr:uid="{00000000-0005-0000-0000-00005C020000}"/>
    <cellStyle name="Comma 16 3 3 2" xfId="415" xr:uid="{00000000-0005-0000-0000-00005D020000}"/>
    <cellStyle name="Comma 16 3 3 2 2" xfId="4717" xr:uid="{EAF4203E-BEEB-4FE9-919A-032D4252F638}"/>
    <cellStyle name="Comma 16 3 3 2 2 2" xfId="5038" xr:uid="{DED81985-6A5D-413F-AE25-133DB6B774E1}"/>
    <cellStyle name="Comma 16 3 3 2 3" xfId="4812" xr:uid="{8B511AFA-C69C-4EA4-BE87-5A8FFD9DE762}"/>
    <cellStyle name="Comma 16 3 3 2 3 2" xfId="5105" xr:uid="{98FC9909-949F-4F3A-BF83-48BEC594984B}"/>
    <cellStyle name="Comma 16 3 3 2 4" xfId="4522" xr:uid="{CCD18752-3AA7-4A13-881E-D9A52D6274F4}"/>
    <cellStyle name="Comma 16 3 3 2 5" xfId="4918" xr:uid="{7DD2CFD6-D192-4883-90F0-350D086958EE}"/>
    <cellStyle name="Comma 16 3 3 3" xfId="4716" xr:uid="{0D2546B4-F839-48CA-9AD3-A84989E5E381}"/>
    <cellStyle name="Comma 16 3 3 3 2" xfId="5037" xr:uid="{CEE3B1ED-0582-42BA-9D4D-01D3DCEA84E4}"/>
    <cellStyle name="Comma 16 3 3 4" xfId="4813" xr:uid="{444397E5-D109-4D68-85AA-587E6BB450A6}"/>
    <cellStyle name="Comma 16 3 3 4 2" xfId="5106" xr:uid="{25F27C2B-FB3E-4F91-BC82-BAF7CC3CE517}"/>
    <cellStyle name="Comma 16 3 3 5" xfId="4521" xr:uid="{998FF7F8-2805-41F7-A98B-9A4BF75D75A9}"/>
    <cellStyle name="Comma 16 3 3 6" xfId="4917" xr:uid="{8256EC9B-9FAA-4DB1-AA74-10E53D35B472}"/>
    <cellStyle name="Comma 16 3 4" xfId="400" xr:uid="{00000000-0005-0000-0000-00005E020000}"/>
    <cellStyle name="Comma 16 3 4 2" xfId="4718" xr:uid="{AC00E7CB-C739-4B37-85FA-FBB4DE506DB3}"/>
    <cellStyle name="Comma 16 3 4 2 2" xfId="5039" xr:uid="{81AAA397-B158-4D60-99CA-91A0FD3C9A02}"/>
    <cellStyle name="Comma 16 3 4 3" xfId="4814" xr:uid="{46D8D54D-0E47-4D9A-94F4-47B0204182F6}"/>
    <cellStyle name="Comma 16 3 4 3 2" xfId="5107" xr:uid="{0402864C-05DD-45B2-B555-4BE671090708}"/>
    <cellStyle name="Comma 16 3 4 4" xfId="4523" xr:uid="{8B425A7F-6840-4930-983C-C8547F0B68C7}"/>
    <cellStyle name="Comma 16 3 4 5" xfId="4919" xr:uid="{5E1B2C23-E751-4A13-BEAC-06963AD1B954}"/>
    <cellStyle name="Comma 16 3 5" xfId="4711" xr:uid="{57466359-FCB7-47EB-86FD-38DF60075D8A}"/>
    <cellStyle name="Comma 16 3 5 2" xfId="5032" xr:uid="{F88CB021-8BF3-488E-99C8-143B286DC028}"/>
    <cellStyle name="Comma 16 3 6" xfId="4815" xr:uid="{EA5A26EC-62F3-401C-87EC-012464B30565}"/>
    <cellStyle name="Comma 16 3 6 2" xfId="5108" xr:uid="{08073CA1-146B-4AD0-ACC6-B0E766B62A0A}"/>
    <cellStyle name="Comma 16 3 7" xfId="4516" xr:uid="{18C316B2-F0FA-4473-A200-CA4F36D51FD7}"/>
    <cellStyle name="Comma 16 3 8" xfId="4912" xr:uid="{0CD3B41D-93CD-4EB5-AFC5-C0A2F7261A4E}"/>
    <cellStyle name="Comma 16 4" xfId="320" xr:uid="{00000000-0005-0000-0000-00005F020000}"/>
    <cellStyle name="Comma 16 4 2" xfId="335" xr:uid="{00000000-0005-0000-0000-000060020000}"/>
    <cellStyle name="Comma 16 4 2 2" xfId="421" xr:uid="{00000000-0005-0000-0000-000061020000}"/>
    <cellStyle name="Comma 16 4 2 2 2" xfId="4721" xr:uid="{7EEDAF4B-CFD1-4E99-BB70-9A7F60A3590F}"/>
    <cellStyle name="Comma 16 4 2 2 2 2" xfId="5042" xr:uid="{A1DB58FC-74BD-4E34-B2F9-A20820D6953B}"/>
    <cellStyle name="Comma 16 4 2 2 3" xfId="4816" xr:uid="{04151E86-F250-480A-A710-03601C2DD503}"/>
    <cellStyle name="Comma 16 4 2 2 3 2" xfId="5109" xr:uid="{31A92A50-8477-4196-AA4E-599076CD1E0C}"/>
    <cellStyle name="Comma 16 4 2 2 4" xfId="4526" xr:uid="{F892260B-E1D8-4C08-BF9D-64B16F10DAB7}"/>
    <cellStyle name="Comma 16 4 2 2 5" xfId="4922" xr:uid="{470E0330-427E-4176-B621-9FD4313DDA11}"/>
    <cellStyle name="Comma 16 4 2 3" xfId="4720" xr:uid="{71D47AC7-EA38-4635-972C-D7C39D98358F}"/>
    <cellStyle name="Comma 16 4 2 3 2" xfId="5041" xr:uid="{DC09DFF6-A521-434C-85B1-AD1AB19D2CA4}"/>
    <cellStyle name="Comma 16 4 2 4" xfId="4817" xr:uid="{8320C689-0A7D-4B82-B18A-8E71B4B98780}"/>
    <cellStyle name="Comma 16 4 2 4 2" xfId="5110" xr:uid="{0E6ABDB1-86A0-4770-AA4F-974EB61AAF83}"/>
    <cellStyle name="Comma 16 4 2 5" xfId="4525" xr:uid="{FA1AF017-7814-4ABB-9FE7-F7C0D83CD8DC}"/>
    <cellStyle name="Comma 16 4 2 6" xfId="4921" xr:uid="{7953A589-F761-429E-BC74-9784DB266DE5}"/>
    <cellStyle name="Comma 16 4 3" xfId="406" xr:uid="{00000000-0005-0000-0000-000062020000}"/>
    <cellStyle name="Comma 16 4 3 2" xfId="4722" xr:uid="{9C3231C5-C602-482D-93ED-AD2CC23F54F9}"/>
    <cellStyle name="Comma 16 4 3 2 2" xfId="5043" xr:uid="{6973F5B0-9F87-40F4-B6BB-F1B6646C36F6}"/>
    <cellStyle name="Comma 16 4 3 3" xfId="4818" xr:uid="{70AD1FC3-FDD6-4E5F-A20F-06C6A5B751C1}"/>
    <cellStyle name="Comma 16 4 3 3 2" xfId="5111" xr:uid="{8A52702F-B2A6-42A7-AB19-089E812C1107}"/>
    <cellStyle name="Comma 16 4 3 4" xfId="4527" xr:uid="{F17DB203-281E-4671-8012-CE60F2C146E2}"/>
    <cellStyle name="Comma 16 4 3 5" xfId="4923" xr:uid="{020376DF-1C69-410A-A5B9-623534D8B966}"/>
    <cellStyle name="Comma 16 4 4" xfId="4719" xr:uid="{9784333B-C840-439B-9B9E-5D7B95BD86B6}"/>
    <cellStyle name="Comma 16 4 4 2" xfId="5040" xr:uid="{9E096B89-A31D-4A1A-BE82-9AA7988319DC}"/>
    <cellStyle name="Comma 16 4 5" xfId="4819" xr:uid="{B789ED4D-04C1-44D8-9501-8F0E60DEACCF}"/>
    <cellStyle name="Comma 16 4 5 2" xfId="5112" xr:uid="{EEFADD9D-1B79-40B0-987C-DE501B860FAE}"/>
    <cellStyle name="Comma 16 4 6" xfId="4524" xr:uid="{BBBEB7C9-BAFE-4E45-9D03-C80A552D187B}"/>
    <cellStyle name="Comma 16 4 7" xfId="4920" xr:uid="{B08AAB63-E437-42BD-BC07-AD28E4839947}"/>
    <cellStyle name="Comma 16 5" xfId="328" xr:uid="{00000000-0005-0000-0000-000063020000}"/>
    <cellStyle name="Comma 16 5 2" xfId="414" xr:uid="{00000000-0005-0000-0000-000064020000}"/>
    <cellStyle name="Comma 16 5 2 2" xfId="4724" xr:uid="{C2B42E9C-F040-46F3-8ADC-3A7BBFF320C1}"/>
    <cellStyle name="Comma 16 5 2 2 2" xfId="5045" xr:uid="{33B82B60-E7A7-4C4D-A09E-D8066B7CE235}"/>
    <cellStyle name="Comma 16 5 2 3" xfId="4820" xr:uid="{E88823B5-A1B2-471C-A655-A8F640B59818}"/>
    <cellStyle name="Comma 16 5 2 3 2" xfId="5113" xr:uid="{7E3D60CC-4FA3-444B-85A0-E5C5C60052AD}"/>
    <cellStyle name="Comma 16 5 2 4" xfId="4529" xr:uid="{CDB2F4A7-9293-4513-BA9F-19B26B912CDF}"/>
    <cellStyle name="Comma 16 5 2 5" xfId="4925" xr:uid="{9AD5E0CB-2449-4D17-9026-75FEA525940D}"/>
    <cellStyle name="Comma 16 5 3" xfId="4723" xr:uid="{0DD4016C-94D8-4229-AA96-3DD68FEC2494}"/>
    <cellStyle name="Comma 16 5 3 2" xfId="5044" xr:uid="{CE630C4A-89CB-4537-BBDE-232F7BFB010E}"/>
    <cellStyle name="Comma 16 5 4" xfId="4821" xr:uid="{1B401775-A727-4499-BFA2-318D0340268D}"/>
    <cellStyle name="Comma 16 5 4 2" xfId="5114" xr:uid="{091360D9-C71E-43F5-8B02-7419919EEC81}"/>
    <cellStyle name="Comma 16 5 5" xfId="4528" xr:uid="{52C73C70-5DF7-4587-81E6-8CD665A2D6A1}"/>
    <cellStyle name="Comma 16 5 6" xfId="4924" xr:uid="{B4BFAF82-4CB5-40A0-BF8B-66B8F6EB8CB4}"/>
    <cellStyle name="Comma 16 6" xfId="399" xr:uid="{00000000-0005-0000-0000-000065020000}"/>
    <cellStyle name="Comma 16 6 2" xfId="4725" xr:uid="{D9670CF7-648D-4694-B949-B5CD32A7A23A}"/>
    <cellStyle name="Comma 16 6 2 2" xfId="5046" xr:uid="{26397917-F43B-445A-8796-74C7E83CB471}"/>
    <cellStyle name="Comma 16 6 3" xfId="4822" xr:uid="{4AFFD7D4-21D1-42D2-9DDC-6CC1C83332A9}"/>
    <cellStyle name="Comma 16 6 3 2" xfId="5115" xr:uid="{4A5A3783-2F9C-4209-AD58-230B9BD20CE0}"/>
    <cellStyle name="Comma 16 6 4" xfId="4530" xr:uid="{F7B543AD-0960-4B88-89A8-E3125856B1A7}"/>
    <cellStyle name="Comma 16 6 5" xfId="4926" xr:uid="{7142C59E-F1B6-48B0-8E2C-6E94922B739D}"/>
    <cellStyle name="Comma 16 7" xfId="4710" xr:uid="{90C8788E-5A8A-4F72-A3FF-C3FA30F9B9CE}"/>
    <cellStyle name="Comma 16 7 2" xfId="5031" xr:uid="{D2DD0311-B90B-46E9-95E5-415DC4663C64}"/>
    <cellStyle name="Comma 16 8" xfId="4823" xr:uid="{50185B56-B59C-4748-B177-53C218908FC2}"/>
    <cellStyle name="Comma 16 8 2" xfId="5116" xr:uid="{C246DDBF-679E-40FB-B600-E63150311911}"/>
    <cellStyle name="Comma 16 9" xfId="4515" xr:uid="{B9CF232D-677E-4586-8E4D-FE7AC3FBFCCC}"/>
    <cellStyle name="Comma 17" xfId="129" xr:uid="{00000000-0005-0000-0000-000066020000}"/>
    <cellStyle name="Comma 17 2" xfId="130" xr:uid="{00000000-0005-0000-0000-000067020000}"/>
    <cellStyle name="Comma 17 2 2" xfId="296" xr:uid="{00000000-0005-0000-0000-000068020000}"/>
    <cellStyle name="Comma 17 2 2 2" xfId="315" xr:uid="{00000000-0005-0000-0000-000069020000}"/>
    <cellStyle name="Comma 17 2 2 2 2" xfId="393" xr:uid="{00000000-0005-0000-0000-00006A020000}"/>
    <cellStyle name="Comma 17 2 2 3" xfId="374" xr:uid="{00000000-0005-0000-0000-00006B020000}"/>
    <cellStyle name="Comma 17 2 3" xfId="306" xr:uid="{00000000-0005-0000-0000-00006C020000}"/>
    <cellStyle name="Comma 17 2 3 2" xfId="384" xr:uid="{00000000-0005-0000-0000-00006D020000}"/>
    <cellStyle name="Comma 17 2 4" xfId="359" xr:uid="{00000000-0005-0000-0000-00006E020000}"/>
    <cellStyle name="Comma 17 3" xfId="295" xr:uid="{00000000-0005-0000-0000-00006F020000}"/>
    <cellStyle name="Comma 17 3 2" xfId="314" xr:uid="{00000000-0005-0000-0000-000070020000}"/>
    <cellStyle name="Comma 17 3 2 2" xfId="392" xr:uid="{00000000-0005-0000-0000-000071020000}"/>
    <cellStyle name="Comma 17 3 3" xfId="373" xr:uid="{00000000-0005-0000-0000-000072020000}"/>
    <cellStyle name="Comma 17 4" xfId="305" xr:uid="{00000000-0005-0000-0000-000073020000}"/>
    <cellStyle name="Comma 17 4 2" xfId="383" xr:uid="{00000000-0005-0000-0000-000074020000}"/>
    <cellStyle name="Comma 17 5" xfId="358" xr:uid="{00000000-0005-0000-0000-000075020000}"/>
    <cellStyle name="Comma 18" xfId="131" xr:uid="{00000000-0005-0000-0000-000076020000}"/>
    <cellStyle name="Comma 18 2" xfId="132" xr:uid="{00000000-0005-0000-0000-000077020000}"/>
    <cellStyle name="Comma 18 2 2" xfId="322" xr:uid="{00000000-0005-0000-0000-000078020000}"/>
    <cellStyle name="Comma 18 2 2 2" xfId="337" xr:uid="{00000000-0005-0000-0000-000079020000}"/>
    <cellStyle name="Comma 18 2 2 2 2" xfId="423" xr:uid="{00000000-0005-0000-0000-00007A020000}"/>
    <cellStyle name="Comma 18 2 2 2 2 2" xfId="4729" xr:uid="{DCA9FC81-464F-4DFC-B33C-EB65DCA1DAE2}"/>
    <cellStyle name="Comma 18 2 2 2 2 2 2" xfId="5050" xr:uid="{E77B95F8-A9D3-495B-845C-0E249068B079}"/>
    <cellStyle name="Comma 18 2 2 2 2 3" xfId="4824" xr:uid="{737318EA-7BD7-44EE-9CF3-0E26D5344D2F}"/>
    <cellStyle name="Comma 18 2 2 2 2 3 2" xfId="5117" xr:uid="{266FC64F-B159-4199-90C1-BB80A1402EAF}"/>
    <cellStyle name="Comma 18 2 2 2 2 4" xfId="4534" xr:uid="{67ED7125-DB04-4E1E-BFC5-9FB8DAAB39AB}"/>
    <cellStyle name="Comma 18 2 2 2 2 5" xfId="4930" xr:uid="{0483246C-FE4A-4CD7-8FA9-417AA1BA1E75}"/>
    <cellStyle name="Comma 18 2 2 2 3" xfId="4728" xr:uid="{BDEA736A-D863-4A13-8350-D2F5A64816BB}"/>
    <cellStyle name="Comma 18 2 2 2 3 2" xfId="5049" xr:uid="{615B7727-941F-4BA7-A116-1167B0DDD010}"/>
    <cellStyle name="Comma 18 2 2 2 4" xfId="4825" xr:uid="{9E4991F7-146F-4750-B10F-DC09C9B74CB2}"/>
    <cellStyle name="Comma 18 2 2 2 4 2" xfId="5118" xr:uid="{992FF4B7-CFA5-4CC8-98CE-492BE355793E}"/>
    <cellStyle name="Comma 18 2 2 2 5" xfId="4533" xr:uid="{64B0F3A3-81C6-42A6-9D9E-D762273AEC42}"/>
    <cellStyle name="Comma 18 2 2 2 6" xfId="4929" xr:uid="{CAB8238D-E10C-40BF-AA22-171B01C75EDC}"/>
    <cellStyle name="Comma 18 2 2 3" xfId="408" xr:uid="{00000000-0005-0000-0000-00007B020000}"/>
    <cellStyle name="Comma 18 2 2 3 2" xfId="4730" xr:uid="{0D8A2C5E-A29E-46EC-A759-196A5496F59C}"/>
    <cellStyle name="Comma 18 2 2 3 2 2" xfId="5051" xr:uid="{9D3FA09B-C0F2-43B9-B924-026B5630D111}"/>
    <cellStyle name="Comma 18 2 2 3 3" xfId="4826" xr:uid="{EE3CF3A2-8CCD-46F2-8390-181E151CE14A}"/>
    <cellStyle name="Comma 18 2 2 3 3 2" xfId="5119" xr:uid="{FA6C0C71-962B-4543-87FF-E00CF637EC31}"/>
    <cellStyle name="Comma 18 2 2 3 4" xfId="4535" xr:uid="{C683A2D2-567E-4200-8A8B-89F28168BFA5}"/>
    <cellStyle name="Comma 18 2 2 3 5" xfId="4931" xr:uid="{F8AE0752-BA74-43E0-8A3F-DD38FEABBB1A}"/>
    <cellStyle name="Comma 18 2 2 4" xfId="4727" xr:uid="{957887F7-1116-4379-BD96-583F846B6B7F}"/>
    <cellStyle name="Comma 18 2 2 4 2" xfId="5048" xr:uid="{EC597109-CED9-45BC-B472-8CCF5A1B21C8}"/>
    <cellStyle name="Comma 18 2 2 5" xfId="4827" xr:uid="{0A8377B0-36ED-444C-B1DF-EBA34560446C}"/>
    <cellStyle name="Comma 18 2 2 5 2" xfId="5120" xr:uid="{478F1BE3-E941-4718-B5E2-0E7729A19035}"/>
    <cellStyle name="Comma 18 2 2 6" xfId="4532" xr:uid="{24BD5AB4-0DB9-4A47-8B01-F40E85F77751}"/>
    <cellStyle name="Comma 18 2 2 7" xfId="4928" xr:uid="{D8FD0ADE-38A5-4BF6-A259-D8172EE714B5}"/>
    <cellStyle name="Comma 18 2 3" xfId="330" xr:uid="{00000000-0005-0000-0000-00007C020000}"/>
    <cellStyle name="Comma 18 2 3 2" xfId="416" xr:uid="{00000000-0005-0000-0000-00007D020000}"/>
    <cellStyle name="Comma 18 2 3 2 2" xfId="4732" xr:uid="{1D5A2A1B-4C31-473D-AEDA-940EE47A7901}"/>
    <cellStyle name="Comma 18 2 3 2 2 2" xfId="5053" xr:uid="{C8FF47AF-A486-46F2-8739-18F646927866}"/>
    <cellStyle name="Comma 18 2 3 2 3" xfId="4828" xr:uid="{02BAC312-2A2F-409C-9507-CB7F2764C689}"/>
    <cellStyle name="Comma 18 2 3 2 3 2" xfId="5121" xr:uid="{FE5EB655-22D6-4873-AEA1-3677C9892A6B}"/>
    <cellStyle name="Comma 18 2 3 2 4" xfId="4537" xr:uid="{54EC8BEB-744D-422E-B954-9EBCD46D0A5D}"/>
    <cellStyle name="Comma 18 2 3 2 5" xfId="4933" xr:uid="{C9651E2C-F54E-4917-8FE5-F2400BC067E2}"/>
    <cellStyle name="Comma 18 2 3 3" xfId="4731" xr:uid="{5D4AAD3A-9FB9-4444-80B7-86B3B1302C28}"/>
    <cellStyle name="Comma 18 2 3 3 2" xfId="5052" xr:uid="{CEAB7F6E-31B4-46D3-912A-26730884033C}"/>
    <cellStyle name="Comma 18 2 3 4" xfId="4829" xr:uid="{605742DA-939C-43F1-B08C-52A1E381F8D2}"/>
    <cellStyle name="Comma 18 2 3 4 2" xfId="5122" xr:uid="{A130BDCD-6132-4763-AB2A-5BC09E06970B}"/>
    <cellStyle name="Comma 18 2 3 5" xfId="4536" xr:uid="{A4C8D812-9B78-471C-B60A-33A4CAACEE4A}"/>
    <cellStyle name="Comma 18 2 3 6" xfId="4932" xr:uid="{AA510495-1D70-49D6-92DC-0EA654A24D8A}"/>
    <cellStyle name="Comma 18 2 4" xfId="401" xr:uid="{00000000-0005-0000-0000-00007E020000}"/>
    <cellStyle name="Comma 18 2 4 2" xfId="4733" xr:uid="{2D5D07D0-AA01-4AA2-9E0B-E9618479E563}"/>
    <cellStyle name="Comma 18 2 4 2 2" xfId="5054" xr:uid="{E4AEBC58-4EDB-4CF0-816C-8F3D5EC82742}"/>
    <cellStyle name="Comma 18 2 4 3" xfId="4830" xr:uid="{143C7196-7508-4F43-A685-5B424E0279BE}"/>
    <cellStyle name="Comma 18 2 4 3 2" xfId="5123" xr:uid="{1DB6A648-BB26-4F9C-AA32-6F2A6A691D9F}"/>
    <cellStyle name="Comma 18 2 4 4" xfId="4538" xr:uid="{1A0CF27F-451D-4E8B-AF27-DE166024EE93}"/>
    <cellStyle name="Comma 18 2 4 5" xfId="4934" xr:uid="{D817FCD1-FF29-4F03-B0C1-9A282065E7AF}"/>
    <cellStyle name="Comma 18 2 5" xfId="4726" xr:uid="{AE414A65-5079-4E6C-863B-FE4DE8B3D332}"/>
    <cellStyle name="Comma 18 2 5 2" xfId="5047" xr:uid="{64C9BD58-3941-40DD-87E6-31BC1AA13862}"/>
    <cellStyle name="Comma 18 2 6" xfId="4831" xr:uid="{5A150161-36C9-48E3-87E0-65BF009BDC83}"/>
    <cellStyle name="Comma 18 2 6 2" xfId="5124" xr:uid="{C84DB8FE-38C2-424B-B7E7-CAD7FEC1E557}"/>
    <cellStyle name="Comma 18 2 7" xfId="4531" xr:uid="{F4038447-9A0C-45CE-9079-1E427C36DABE}"/>
    <cellStyle name="Comma 18 2 8" xfId="4927" xr:uid="{89346CC8-F4A2-426F-9915-FB9727F4E2B1}"/>
    <cellStyle name="Comma 18 3" xfId="297" xr:uid="{00000000-0005-0000-0000-00007F020000}"/>
    <cellStyle name="Comma 18 3 2" xfId="316" xr:uid="{00000000-0005-0000-0000-000080020000}"/>
    <cellStyle name="Comma 18 3 2 2" xfId="394" xr:uid="{00000000-0005-0000-0000-000081020000}"/>
    <cellStyle name="Comma 18 3 3" xfId="375" xr:uid="{00000000-0005-0000-0000-000082020000}"/>
    <cellStyle name="Comma 18 4" xfId="307" xr:uid="{00000000-0005-0000-0000-000083020000}"/>
    <cellStyle name="Comma 18 4 2" xfId="385" xr:uid="{00000000-0005-0000-0000-000084020000}"/>
    <cellStyle name="Comma 18 5" xfId="360" xr:uid="{00000000-0005-0000-0000-000085020000}"/>
    <cellStyle name="Comma 19" xfId="133" xr:uid="{00000000-0005-0000-0000-000086020000}"/>
    <cellStyle name="Comma 19 2" xfId="134" xr:uid="{00000000-0005-0000-0000-000087020000}"/>
    <cellStyle name="Comma 2" xfId="135" xr:uid="{00000000-0005-0000-0000-000088020000}"/>
    <cellStyle name="Comma 2 2" xfId="136" xr:uid="{00000000-0005-0000-0000-000089020000}"/>
    <cellStyle name="Comma 2 3" xfId="137" xr:uid="{00000000-0005-0000-0000-00008A020000}"/>
    <cellStyle name="Comma 2 3 2" xfId="323" xr:uid="{00000000-0005-0000-0000-00008B020000}"/>
    <cellStyle name="Comma 2 3 2 2" xfId="338" xr:uid="{00000000-0005-0000-0000-00008C020000}"/>
    <cellStyle name="Comma 2 3 2 2 2" xfId="424" xr:uid="{00000000-0005-0000-0000-00008D020000}"/>
    <cellStyle name="Comma 2 3 2 2 2 2" xfId="4737" xr:uid="{7E2A0BB0-9422-42BB-9805-1049EE45A841}"/>
    <cellStyle name="Comma 2 3 2 2 2 2 2" xfId="5058" xr:uid="{5CD15A1C-0266-4EFA-A81D-03A046965298}"/>
    <cellStyle name="Comma 2 3 2 2 2 3" xfId="4832" xr:uid="{723C96DB-3EAF-436D-BE34-82743D7D346D}"/>
    <cellStyle name="Comma 2 3 2 2 2 3 2" xfId="5125" xr:uid="{980D5832-8F01-4D20-B9F2-3DB275B96FF0}"/>
    <cellStyle name="Comma 2 3 2 2 2 4" xfId="4542" xr:uid="{3D1DD160-8A66-4FA2-850A-79B32818F998}"/>
    <cellStyle name="Comma 2 3 2 2 2 5" xfId="4938" xr:uid="{28D76FEA-E339-4E2C-AF41-1D5495FE3B34}"/>
    <cellStyle name="Comma 2 3 2 2 3" xfId="4736" xr:uid="{D8438363-0315-42FB-9160-7D96BDE0D80F}"/>
    <cellStyle name="Comma 2 3 2 2 3 2" xfId="5057" xr:uid="{38516933-483B-4B6C-A1C2-E714927E5C2E}"/>
    <cellStyle name="Comma 2 3 2 2 4" xfId="4833" xr:uid="{32D8BDD4-88FE-4729-B5FC-66F4F6247352}"/>
    <cellStyle name="Comma 2 3 2 2 4 2" xfId="5126" xr:uid="{BD4BAB61-36CF-4271-8F25-FF0746FECA52}"/>
    <cellStyle name="Comma 2 3 2 2 5" xfId="4541" xr:uid="{E72E837E-1C0B-4B67-A59E-2DF76C207480}"/>
    <cellStyle name="Comma 2 3 2 2 6" xfId="4937" xr:uid="{87B2E849-5332-42ED-81FE-F19520E3D8CC}"/>
    <cellStyle name="Comma 2 3 2 3" xfId="409" xr:uid="{00000000-0005-0000-0000-00008E020000}"/>
    <cellStyle name="Comma 2 3 2 3 2" xfId="4738" xr:uid="{E9A24DEA-9897-4F47-8D54-EEEB8163EAFE}"/>
    <cellStyle name="Comma 2 3 2 3 2 2" xfId="5059" xr:uid="{C7DD24D7-9312-4B83-916F-61EE77B65454}"/>
    <cellStyle name="Comma 2 3 2 3 3" xfId="4834" xr:uid="{6CBC4DD6-C9D8-43F2-B5F1-EE78B8E2765F}"/>
    <cellStyle name="Comma 2 3 2 3 3 2" xfId="5127" xr:uid="{0D04E1A4-95B6-4D24-8186-5251C2717ED0}"/>
    <cellStyle name="Comma 2 3 2 3 4" xfId="4543" xr:uid="{3CA3C3F8-D504-4F51-992A-76E8FC5D2806}"/>
    <cellStyle name="Comma 2 3 2 3 5" xfId="4939" xr:uid="{504D135F-87AE-4D86-89DA-171AD250A22A}"/>
    <cellStyle name="Comma 2 3 2 4" xfId="4735" xr:uid="{2B44B041-6AA5-46F8-A12F-B0882C0EB2D2}"/>
    <cellStyle name="Comma 2 3 2 4 2" xfId="5056" xr:uid="{B83228FD-708B-4DF0-BA31-80624EE1B7DE}"/>
    <cellStyle name="Comma 2 3 2 5" xfId="4835" xr:uid="{A38B49D8-DFA3-4819-8E0E-04BE1C70A2DF}"/>
    <cellStyle name="Comma 2 3 2 5 2" xfId="5128" xr:uid="{430803DF-5DAA-49AC-A101-9012EF1771AA}"/>
    <cellStyle name="Comma 2 3 2 6" xfId="4540" xr:uid="{54C3E7C4-4AC7-4969-87D7-2A64BC7F8A1A}"/>
    <cellStyle name="Comma 2 3 2 7" xfId="4936" xr:uid="{CA7FE07D-EC85-406C-8B8A-09433BA1BBCC}"/>
    <cellStyle name="Comma 2 3 3" xfId="331" xr:uid="{00000000-0005-0000-0000-00008F020000}"/>
    <cellStyle name="Comma 2 3 3 2" xfId="417" xr:uid="{00000000-0005-0000-0000-000090020000}"/>
    <cellStyle name="Comma 2 3 3 2 2" xfId="4740" xr:uid="{37B76E5D-785D-4884-BFDF-7F696EDA83D3}"/>
    <cellStyle name="Comma 2 3 3 2 2 2" xfId="5061" xr:uid="{99A04608-37C7-47F7-B305-DC224FAE4CE0}"/>
    <cellStyle name="Comma 2 3 3 2 3" xfId="4836" xr:uid="{3F5B5D55-7C99-475A-A849-C3D81BFD37B9}"/>
    <cellStyle name="Comma 2 3 3 2 3 2" xfId="5129" xr:uid="{4BAA348A-A166-400D-92C8-E90D88398A22}"/>
    <cellStyle name="Comma 2 3 3 2 4" xfId="4545" xr:uid="{4793A622-B8E0-4752-B52C-93D0E18E3E56}"/>
    <cellStyle name="Comma 2 3 3 2 5" xfId="4941" xr:uid="{35C7AA0D-756E-4FBA-AE56-E1615BA680E1}"/>
    <cellStyle name="Comma 2 3 3 3" xfId="4739" xr:uid="{00A7A39D-3B2E-4E31-A5AB-6D158E3E4DA5}"/>
    <cellStyle name="Comma 2 3 3 3 2" xfId="5060" xr:uid="{23B50F2B-33C9-4E2F-8A06-D8A14CCF2BFD}"/>
    <cellStyle name="Comma 2 3 3 4" xfId="4837" xr:uid="{6B2DBEA9-9F8D-4403-9D44-579E46BF5E7D}"/>
    <cellStyle name="Comma 2 3 3 4 2" xfId="5130" xr:uid="{B45477C9-5EC8-41C9-B273-B52DCD7B5190}"/>
    <cellStyle name="Comma 2 3 3 5" xfId="4544" xr:uid="{0F785A56-1FCF-42FD-9C24-5DBBA391BE22}"/>
    <cellStyle name="Comma 2 3 3 6" xfId="4940" xr:uid="{9331CB58-DCB5-4BDD-9487-8D2764F30936}"/>
    <cellStyle name="Comma 2 3 4" xfId="402" xr:uid="{00000000-0005-0000-0000-000091020000}"/>
    <cellStyle name="Comma 2 3 4 2" xfId="4741" xr:uid="{3C583971-A342-4C55-9425-FD6AC237408A}"/>
    <cellStyle name="Comma 2 3 4 2 2" xfId="5062" xr:uid="{D26925ED-EFA6-4F6D-9C31-87DC75C38635}"/>
    <cellStyle name="Comma 2 3 4 3" xfId="4838" xr:uid="{3CA8409A-FCD1-4524-9186-EA0AC5D8C9E0}"/>
    <cellStyle name="Comma 2 3 4 3 2" xfId="5131" xr:uid="{50BC89DA-67B4-406D-A07C-D137C694A947}"/>
    <cellStyle name="Comma 2 3 4 4" xfId="4546" xr:uid="{9199A367-BAA3-407E-9A64-6B09C67539A0}"/>
    <cellStyle name="Comma 2 3 4 5" xfId="4942" xr:uid="{A845D92F-ABC2-4CC3-9347-46A607DFBD2D}"/>
    <cellStyle name="Comma 2 3 5" xfId="4734" xr:uid="{0A725E11-2752-4281-A118-CED9113D0030}"/>
    <cellStyle name="Comma 2 3 5 2" xfId="5055" xr:uid="{7C5976E3-B31F-4341-92B7-080855E0B455}"/>
    <cellStyle name="Comma 2 3 6" xfId="4839" xr:uid="{E4EC2ECD-6E12-48D0-A297-0C2C764806A7}"/>
    <cellStyle name="Comma 2 3 6 2" xfId="5132" xr:uid="{F066EC4F-5F67-4DB6-8D62-8EE3A088139C}"/>
    <cellStyle name="Comma 2 3 7" xfId="4539" xr:uid="{B78C629A-9FBD-41A5-9EE2-48FE9B5B38E2}"/>
    <cellStyle name="Comma 2 3 8" xfId="4935" xr:uid="{68E63EFB-0DD5-4D5E-A4FC-4D40E1D8FE0E}"/>
    <cellStyle name="Comma 2 4" xfId="291" xr:uid="{00000000-0005-0000-0000-000092020000}"/>
    <cellStyle name="Comma 2 4 2" xfId="327" xr:uid="{00000000-0005-0000-0000-000093020000}"/>
    <cellStyle name="Comma 2 4 2 2" xfId="342" xr:uid="{00000000-0005-0000-0000-000094020000}"/>
    <cellStyle name="Comma 2 4 2 2 2" xfId="428" xr:uid="{00000000-0005-0000-0000-000095020000}"/>
    <cellStyle name="Comma 2 4 2 2 2 2" xfId="4745" xr:uid="{40E51F89-4A30-46D5-952B-1CFDE41B2CE6}"/>
    <cellStyle name="Comma 2 4 2 2 2 2 2" xfId="5066" xr:uid="{534C0DEF-6191-4B2F-829F-09D04F7C1E32}"/>
    <cellStyle name="Comma 2 4 2 2 2 3" xfId="4840" xr:uid="{C409C9C5-A842-4530-82B6-FB1DD4F8EEF5}"/>
    <cellStyle name="Comma 2 4 2 2 2 3 2" xfId="5133" xr:uid="{DD980939-D39F-4B08-871E-594A3CFC03FC}"/>
    <cellStyle name="Comma 2 4 2 2 2 4" xfId="4550" xr:uid="{F72065DF-3FF2-48CE-9D00-AE2BE6D7C6A1}"/>
    <cellStyle name="Comma 2 4 2 2 2 5" xfId="4946" xr:uid="{D513EFE8-5936-4341-9471-F6E114ED3F2A}"/>
    <cellStyle name="Comma 2 4 2 2 3" xfId="4744" xr:uid="{31FBB285-2F77-49F8-B43A-79740BDACEB2}"/>
    <cellStyle name="Comma 2 4 2 2 3 2" xfId="5065" xr:uid="{26F677EC-7D9B-44C7-9963-E4C594FFE6C6}"/>
    <cellStyle name="Comma 2 4 2 2 4" xfId="4841" xr:uid="{F030B724-D6A5-40A7-8DB6-757EB80E3260}"/>
    <cellStyle name="Comma 2 4 2 2 4 2" xfId="5134" xr:uid="{FCF37F56-37F6-463A-8BC6-87A9AE4ACFEC}"/>
    <cellStyle name="Comma 2 4 2 2 5" xfId="4549" xr:uid="{791BE356-8ED6-48EB-8F15-A6931AF292B1}"/>
    <cellStyle name="Comma 2 4 2 2 6" xfId="4945" xr:uid="{04AC7D01-397E-4629-B036-3A16FD568AD8}"/>
    <cellStyle name="Comma 2 4 2 3" xfId="413" xr:uid="{00000000-0005-0000-0000-000096020000}"/>
    <cellStyle name="Comma 2 4 2 3 2" xfId="4746" xr:uid="{74021F95-D1C1-4E88-8639-01E86808D37E}"/>
    <cellStyle name="Comma 2 4 2 3 2 2" xfId="5067" xr:uid="{56C9E753-A56A-4C74-BF6E-2C66FBA16472}"/>
    <cellStyle name="Comma 2 4 2 3 3" xfId="4842" xr:uid="{2AF0B72F-FBBF-4292-8184-94ADF54B73FD}"/>
    <cellStyle name="Comma 2 4 2 3 3 2" xfId="5135" xr:uid="{47A4E51E-00DE-423F-8496-009F85B63D7C}"/>
    <cellStyle name="Comma 2 4 2 3 4" xfId="4551" xr:uid="{9B0D62C1-FFA9-4881-8E6F-788297155113}"/>
    <cellStyle name="Comma 2 4 2 3 5" xfId="4947" xr:uid="{E8069FE2-A027-4E2E-AD25-FF01BFB96BCC}"/>
    <cellStyle name="Comma 2 4 2 4" xfId="4743" xr:uid="{9AB02BB2-5554-4210-9A10-F0DEC52D7EF4}"/>
    <cellStyle name="Comma 2 4 2 4 2" xfId="5064" xr:uid="{D9816C6B-C3D1-4D26-A086-810C9C221831}"/>
    <cellStyle name="Comma 2 4 2 5" xfId="4843" xr:uid="{B741E40B-55B4-4A18-B542-1CC09C4BBE57}"/>
    <cellStyle name="Comma 2 4 2 5 2" xfId="5136" xr:uid="{E4EDBB3D-6C09-46E2-BC0A-BF4BD9EEA8BD}"/>
    <cellStyle name="Comma 2 4 2 6" xfId="4548" xr:uid="{2215812B-BB43-4700-BA80-F9ED408F95EF}"/>
    <cellStyle name="Comma 2 4 2 7" xfId="4944" xr:uid="{36867516-06A7-4196-AB9B-22EDD87CB2BC}"/>
    <cellStyle name="Comma 2 4 3" xfId="334" xr:uid="{00000000-0005-0000-0000-000097020000}"/>
    <cellStyle name="Comma 2 4 3 2" xfId="420" xr:uid="{00000000-0005-0000-0000-000098020000}"/>
    <cellStyle name="Comma 2 4 3 2 2" xfId="4748" xr:uid="{FF441C10-795C-4DD9-856A-4D41871A5DBA}"/>
    <cellStyle name="Comma 2 4 3 2 2 2" xfId="5069" xr:uid="{67503100-50BE-4092-8EE5-D3259CA36EAC}"/>
    <cellStyle name="Comma 2 4 3 2 3" xfId="4844" xr:uid="{AE5CBF2D-28C5-40E5-B51F-07F7303F0CF7}"/>
    <cellStyle name="Comma 2 4 3 2 3 2" xfId="5137" xr:uid="{56565094-5944-45CA-A242-2CF9CFCAB699}"/>
    <cellStyle name="Comma 2 4 3 2 4" xfId="4553" xr:uid="{41EFE918-1A88-4D12-9688-B8334F1F33A7}"/>
    <cellStyle name="Comma 2 4 3 2 5" xfId="4949" xr:uid="{F1F1F985-39B6-433E-86C9-8EEB0C0D5377}"/>
    <cellStyle name="Comma 2 4 3 3" xfId="4747" xr:uid="{AFBC98D0-3BDB-4F69-A519-65D352E58ABF}"/>
    <cellStyle name="Comma 2 4 3 3 2" xfId="5068" xr:uid="{05C6BD0F-BB8F-4E0C-8E35-C9F048AAE4D2}"/>
    <cellStyle name="Comma 2 4 3 4" xfId="4845" xr:uid="{F6848674-454A-40E1-B4F1-464C647FB8F6}"/>
    <cellStyle name="Comma 2 4 3 4 2" xfId="5138" xr:uid="{A8FE030B-451B-4F4A-94C0-3F03AE8E9AAD}"/>
    <cellStyle name="Comma 2 4 3 5" xfId="4552" xr:uid="{622B9BD2-0FD6-493A-8CCD-C137FCE7AA1C}"/>
    <cellStyle name="Comma 2 4 3 6" xfId="4948" xr:uid="{FA2F54C7-0CF2-4645-BE06-0D0AC81AC5D0}"/>
    <cellStyle name="Comma 2 4 4" xfId="405" xr:uid="{00000000-0005-0000-0000-000099020000}"/>
    <cellStyle name="Comma 2 4 4 2" xfId="4749" xr:uid="{E50F879A-64DC-4537-B684-99A0A5C60D14}"/>
    <cellStyle name="Comma 2 4 4 2 2" xfId="5070" xr:uid="{86F718F9-644D-4C2B-BD02-2A80A4E3E9D3}"/>
    <cellStyle name="Comma 2 4 4 3" xfId="4846" xr:uid="{18DB0C55-8BD6-480A-A9C5-6564054DB644}"/>
    <cellStyle name="Comma 2 4 4 3 2" xfId="5139" xr:uid="{C22D63A3-CCD2-411E-A223-EE2E7FA64E65}"/>
    <cellStyle name="Comma 2 4 4 4" xfId="4554" xr:uid="{C64693F9-0DE3-4186-89DB-CC6D7E460801}"/>
    <cellStyle name="Comma 2 4 4 5" xfId="4950" xr:uid="{B6F657F9-D488-4D32-AD12-CF42EE9D1142}"/>
    <cellStyle name="Comma 2 4 5" xfId="4742" xr:uid="{30B74C72-F703-4FAF-B2B0-A24516EF83A3}"/>
    <cellStyle name="Comma 2 4 5 2" xfId="5063" xr:uid="{EA831C35-7985-444E-B34F-BE559F7FACE9}"/>
    <cellStyle name="Comma 2 4 6" xfId="4847" xr:uid="{28B2B8E0-48AF-43A1-95B2-A49F53A38179}"/>
    <cellStyle name="Comma 2 4 6 2" xfId="5140" xr:uid="{F0DCC3E1-84A3-4B6A-93A8-9CA77379E5E8}"/>
    <cellStyle name="Comma 2 4 7" xfId="4547" xr:uid="{4E37BF6A-8BE3-4206-A788-DE2FCA8EA9F7}"/>
    <cellStyle name="Comma 2 4 8" xfId="4943" xr:uid="{D8849AC2-B7F1-44CE-B95D-3525984A6797}"/>
    <cellStyle name="Comma 2_IFRS MARZ-JUN-DIC DTT ( definitivo)" xfId="138" xr:uid="{00000000-0005-0000-0000-00009A020000}"/>
    <cellStyle name="Comma 20" xfId="139" xr:uid="{00000000-0005-0000-0000-00009B020000}"/>
    <cellStyle name="Comma 21" xfId="140" xr:uid="{00000000-0005-0000-0000-00009C020000}"/>
    <cellStyle name="Comma 22" xfId="141" xr:uid="{00000000-0005-0000-0000-00009D020000}"/>
    <cellStyle name="Comma 22 2" xfId="324" xr:uid="{00000000-0005-0000-0000-00009E020000}"/>
    <cellStyle name="Comma 22 2 2" xfId="339" xr:uid="{00000000-0005-0000-0000-00009F020000}"/>
    <cellStyle name="Comma 22 2 2 2" xfId="425" xr:uid="{00000000-0005-0000-0000-0000A0020000}"/>
    <cellStyle name="Comma 22 2 2 2 2" xfId="4753" xr:uid="{53085904-3163-4A44-8F94-4F1EADCE6D9E}"/>
    <cellStyle name="Comma 22 2 2 2 2 2" xfId="5074" xr:uid="{B0C931DE-A273-470C-BE58-9A3CEDC93566}"/>
    <cellStyle name="Comma 22 2 2 2 3" xfId="4848" xr:uid="{60D443DE-4E62-441E-9597-912E43CBF8C8}"/>
    <cellStyle name="Comma 22 2 2 2 3 2" xfId="5141" xr:uid="{BC8928E4-07C1-4550-A9B2-EFFA9712F5CE}"/>
    <cellStyle name="Comma 22 2 2 2 4" xfId="4558" xr:uid="{3D4C68D8-7D14-4AD9-8E4A-01E3CBD33D8C}"/>
    <cellStyle name="Comma 22 2 2 2 5" xfId="4954" xr:uid="{4EC22846-68B8-48CB-93FD-A4F12B374612}"/>
    <cellStyle name="Comma 22 2 2 3" xfId="4752" xr:uid="{92D39273-99CE-4089-9223-076B693EDDC2}"/>
    <cellStyle name="Comma 22 2 2 3 2" xfId="5073" xr:uid="{5D5EB5DC-9F1B-4641-A65C-47594439A8B2}"/>
    <cellStyle name="Comma 22 2 2 4" xfId="4849" xr:uid="{7DC325BF-2A4A-41D4-89F4-6FAAB58B5E5E}"/>
    <cellStyle name="Comma 22 2 2 4 2" xfId="5142" xr:uid="{E04165CF-123F-473B-AAF9-5FA85B812E66}"/>
    <cellStyle name="Comma 22 2 2 5" xfId="4557" xr:uid="{F172BCCE-C3AD-4F56-A9DC-2626D5E71F5A}"/>
    <cellStyle name="Comma 22 2 2 6" xfId="4953" xr:uid="{AB42174B-EB9A-4C5A-B255-FC7D781D2EC3}"/>
    <cellStyle name="Comma 22 2 3" xfId="410" xr:uid="{00000000-0005-0000-0000-0000A1020000}"/>
    <cellStyle name="Comma 22 2 3 2" xfId="4754" xr:uid="{294FAB82-3406-4CDD-99F1-06863C673F37}"/>
    <cellStyle name="Comma 22 2 3 2 2" xfId="5075" xr:uid="{4FF85918-FAF4-455F-A49E-FD41011C8582}"/>
    <cellStyle name="Comma 22 2 3 3" xfId="4850" xr:uid="{EB59E7E0-4E03-4A0C-B1F9-0AA3E106FA32}"/>
    <cellStyle name="Comma 22 2 3 3 2" xfId="5143" xr:uid="{FB2AC662-857D-4404-9D69-64FF17300056}"/>
    <cellStyle name="Comma 22 2 3 4" xfId="4559" xr:uid="{4C0B0809-F5AA-4759-9337-70180911B2A0}"/>
    <cellStyle name="Comma 22 2 3 5" xfId="4955" xr:uid="{F3D89451-2597-41EF-9FFA-C95CFE195C9C}"/>
    <cellStyle name="Comma 22 2 4" xfId="4751" xr:uid="{6EC329CF-5247-437A-8207-7B1686B7C8EC}"/>
    <cellStyle name="Comma 22 2 4 2" xfId="5072" xr:uid="{84A60B99-A1F9-4B6B-930B-0971957300C5}"/>
    <cellStyle name="Comma 22 2 5" xfId="4851" xr:uid="{5E04F103-BACE-407D-9017-187DDA972920}"/>
    <cellStyle name="Comma 22 2 5 2" xfId="5144" xr:uid="{E55C41BE-00A5-4C43-B0FD-165A4C33325B}"/>
    <cellStyle name="Comma 22 2 6" xfId="4556" xr:uid="{79E6AD19-DBC1-40CE-A8D5-866B7F0636BD}"/>
    <cellStyle name="Comma 22 2 7" xfId="4952" xr:uid="{5AC91544-DC5B-4A8B-A04E-12D8331A5BE9}"/>
    <cellStyle name="Comma 22 3" xfId="332" xr:uid="{00000000-0005-0000-0000-0000A2020000}"/>
    <cellStyle name="Comma 22 3 2" xfId="418" xr:uid="{00000000-0005-0000-0000-0000A3020000}"/>
    <cellStyle name="Comma 22 3 2 2" xfId="4756" xr:uid="{1FE9FEAE-3C26-4D81-9687-A35BDC328EB4}"/>
    <cellStyle name="Comma 22 3 2 2 2" xfId="5077" xr:uid="{6A2CA335-BEDA-4621-BC75-7EA4B87EEB84}"/>
    <cellStyle name="Comma 22 3 2 3" xfId="4852" xr:uid="{4BE4BB90-2B2E-4FE9-A070-862A405ECE7C}"/>
    <cellStyle name="Comma 22 3 2 3 2" xfId="5145" xr:uid="{E29EDDDD-A7F8-438F-AB5E-F3E6DA0D12AA}"/>
    <cellStyle name="Comma 22 3 2 4" xfId="4561" xr:uid="{0E60F93D-9AB1-4878-8ED0-2F9235CF9277}"/>
    <cellStyle name="Comma 22 3 2 5" xfId="4957" xr:uid="{519B4203-7F7B-48AB-934B-FA5E3C85CB5F}"/>
    <cellStyle name="Comma 22 3 3" xfId="4755" xr:uid="{631BBC13-1389-4709-BD8F-77ED2101694A}"/>
    <cellStyle name="Comma 22 3 3 2" xfId="5076" xr:uid="{B51C39B7-6B20-4F9D-A7B1-83A00A9F3561}"/>
    <cellStyle name="Comma 22 3 4" xfId="4853" xr:uid="{333989A4-29BB-4E2B-8C42-5737CE2FC45E}"/>
    <cellStyle name="Comma 22 3 4 2" xfId="5146" xr:uid="{F3FB0807-91DB-4837-A23D-B6890B2EFE5A}"/>
    <cellStyle name="Comma 22 3 5" xfId="4560" xr:uid="{43C3262F-852C-4742-9871-93C3DFA482B8}"/>
    <cellStyle name="Comma 22 3 6" xfId="4956" xr:uid="{8BDB0F4B-8B40-4173-ACA1-6F125E48BFAD}"/>
    <cellStyle name="Comma 22 4" xfId="403" xr:uid="{00000000-0005-0000-0000-0000A4020000}"/>
    <cellStyle name="Comma 22 4 2" xfId="4757" xr:uid="{F5BEEE48-D9DA-46F5-B7FD-5B4820DB849F}"/>
    <cellStyle name="Comma 22 4 2 2" xfId="5078" xr:uid="{A35383B8-8D38-4E44-A90E-B1261D2C6365}"/>
    <cellStyle name="Comma 22 4 3" xfId="4854" xr:uid="{690C5D3E-988B-426C-A94A-5B9B9346E5F3}"/>
    <cellStyle name="Comma 22 4 3 2" xfId="5147" xr:uid="{2F4FD244-139D-4B6B-B7AE-B5B3EA5665DD}"/>
    <cellStyle name="Comma 22 4 4" xfId="4562" xr:uid="{9AD998F9-EDB0-4881-86C6-7F8AE5C49F02}"/>
    <cellStyle name="Comma 22 4 5" xfId="4958" xr:uid="{B36D79BB-580D-42B5-86A4-B026E1131E5D}"/>
    <cellStyle name="Comma 22 5" xfId="4750" xr:uid="{F0D3D6B4-3548-4919-AD7D-52CCE29168B3}"/>
    <cellStyle name="Comma 22 5 2" xfId="5071" xr:uid="{2BEB947E-23E5-414A-87C3-A67B07BB9459}"/>
    <cellStyle name="Comma 22 6" xfId="4855" xr:uid="{EBE9ECCD-61AF-4DB0-B5EB-3111018DD621}"/>
    <cellStyle name="Comma 22 6 2" xfId="5148" xr:uid="{5B879C30-48D2-4D61-A683-2F2C43BF25DA}"/>
    <cellStyle name="Comma 22 7" xfId="4555" xr:uid="{B5FB12DB-40D7-43F6-B675-77DA0AB0FE5B}"/>
    <cellStyle name="Comma 22 8" xfId="4951" xr:uid="{D51C34BE-D419-435C-8750-6B3395CFD4AF}"/>
    <cellStyle name="Comma 3" xfId="142" xr:uid="{00000000-0005-0000-0000-0000A5020000}"/>
    <cellStyle name="Comma 4" xfId="143" xr:uid="{00000000-0005-0000-0000-0000A6020000}"/>
    <cellStyle name="Comma 5" xfId="144" xr:uid="{00000000-0005-0000-0000-0000A7020000}"/>
    <cellStyle name="Comma 6" xfId="145" xr:uid="{00000000-0005-0000-0000-0000A8020000}"/>
    <cellStyle name="Comma 7" xfId="146" xr:uid="{00000000-0005-0000-0000-0000A9020000}"/>
    <cellStyle name="Comma 8" xfId="147" xr:uid="{00000000-0005-0000-0000-0000AA020000}"/>
    <cellStyle name="Comma 9" xfId="148" xr:uid="{00000000-0005-0000-0000-0000AB020000}"/>
    <cellStyle name="Comma0" xfId="149" xr:uid="{00000000-0005-0000-0000-0000AC020000}"/>
    <cellStyle name="Company Name" xfId="150" xr:uid="{00000000-0005-0000-0000-0000AD020000}"/>
    <cellStyle name="CR Comma" xfId="151" xr:uid="{00000000-0005-0000-0000-0000AE020000}"/>
    <cellStyle name="CR Currency" xfId="152" xr:uid="{00000000-0005-0000-0000-0000AF020000}"/>
    <cellStyle name="Credit" xfId="153" xr:uid="{00000000-0005-0000-0000-0000B0020000}"/>
    <cellStyle name="Credit subtotal" xfId="154" xr:uid="{00000000-0005-0000-0000-0000B1020000}"/>
    <cellStyle name="Credit subtotal 2" xfId="773" xr:uid="{00000000-0005-0000-0000-0000B2020000}"/>
    <cellStyle name="Credit subtotal 2 2" xfId="4759" xr:uid="{064A9CFD-CC9C-4C3D-84FA-E2834BB5AD58}"/>
    <cellStyle name="Credit subtotal 2 3" xfId="4787" xr:uid="{07D9E9F0-922D-4BFA-BFD4-D72D89D835D4}"/>
    <cellStyle name="Credit subtotal 2 4" xfId="4856" xr:uid="{8A6696DE-B415-4086-901F-708CA785FD04}"/>
    <cellStyle name="Credit subtotal 3" xfId="4758" xr:uid="{35F9E995-2E0C-4100-95C7-F41A875B27E2}"/>
    <cellStyle name="Credit subtotal 4" xfId="4788" xr:uid="{9CFDD351-D163-4A73-9202-2CBF7111C33B}"/>
    <cellStyle name="Credit subtotal 5" xfId="4857" xr:uid="{51FCD85E-45F7-4AD6-84D2-7CCD28ACB8AA}"/>
    <cellStyle name="Credit Total" xfId="155" xr:uid="{00000000-0005-0000-0000-0000B3020000}"/>
    <cellStyle name="Currency %" xfId="156" xr:uid="{00000000-0005-0000-0000-0000B4020000}"/>
    <cellStyle name="Currency [0] 2" xfId="4608" xr:uid="{95179A56-AA66-44E1-A7C6-FEDB701658FA}"/>
    <cellStyle name="Currency [0] 3" xfId="4986" xr:uid="{D889C331-627E-4465-BB6D-A75670C8AA32}"/>
    <cellStyle name="Currency 0.0" xfId="157" xr:uid="{00000000-0005-0000-0000-0000B5020000}"/>
    <cellStyle name="Currency 0.0%" xfId="158" xr:uid="{00000000-0005-0000-0000-0000B6020000}"/>
    <cellStyle name="Currency 0.0_Caso 10" xfId="159" xr:uid="{00000000-0005-0000-0000-0000B7020000}"/>
    <cellStyle name="Currency 0.00" xfId="160" xr:uid="{00000000-0005-0000-0000-0000B8020000}"/>
    <cellStyle name="Currency 0.00%" xfId="161" xr:uid="{00000000-0005-0000-0000-0000B9020000}"/>
    <cellStyle name="Currency 0.00_Caso 10" xfId="162" xr:uid="{00000000-0005-0000-0000-0000BA020000}"/>
    <cellStyle name="Currency 0.000" xfId="163" xr:uid="{00000000-0005-0000-0000-0000BB020000}"/>
    <cellStyle name="Currency 0.000%" xfId="164" xr:uid="{00000000-0005-0000-0000-0000BC020000}"/>
    <cellStyle name="Currency 0.000_Caso 10" xfId="165" xr:uid="{00000000-0005-0000-0000-0000BD020000}"/>
    <cellStyle name="Currency0" xfId="166" xr:uid="{00000000-0005-0000-0000-0000BE020000}"/>
    <cellStyle name="Date" xfId="167" xr:uid="{00000000-0005-0000-0000-0000BF020000}"/>
    <cellStyle name="Debit" xfId="168" xr:uid="{00000000-0005-0000-0000-0000C0020000}"/>
    <cellStyle name="Debit subtotal" xfId="169" xr:uid="{00000000-0005-0000-0000-0000C1020000}"/>
    <cellStyle name="Debit subtotal 2" xfId="774" xr:uid="{00000000-0005-0000-0000-0000C2020000}"/>
    <cellStyle name="Debit subtotal 2 2" xfId="4761" xr:uid="{15795FA0-2DB6-4D35-9515-8C1BCC639AB3}"/>
    <cellStyle name="Debit subtotal 2 3" xfId="4785" xr:uid="{416D0D56-FF00-44FF-917C-C32610830614}"/>
    <cellStyle name="Debit subtotal 2 4" xfId="4858" xr:uid="{16E9DE5A-9455-42D7-A764-CAD9126C2D40}"/>
    <cellStyle name="Debit subtotal 3" xfId="4760" xr:uid="{A9E4FF4B-8A9A-431E-9529-402D0A911EA9}"/>
    <cellStyle name="Debit subtotal 4" xfId="4786" xr:uid="{78E02DF8-E439-4F37-8E6E-C3ACD0C0D8C2}"/>
    <cellStyle name="Debit subtotal 5" xfId="4859" xr:uid="{0529359A-F2AF-4252-A06F-0D06306BF2E2}"/>
    <cellStyle name="Debit Total" xfId="170" xr:uid="{00000000-0005-0000-0000-0000C3020000}"/>
    <cellStyle name="Dezimal [0]_FBA-6" xfId="171" xr:uid="{00000000-0005-0000-0000-0000C4020000}"/>
    <cellStyle name="Dezimal_FBA-6" xfId="172" xr:uid="{00000000-0005-0000-0000-0000C5020000}"/>
    <cellStyle name="Dia" xfId="173" xr:uid="{00000000-0005-0000-0000-0000C6020000}"/>
    <cellStyle name="Encabez1" xfId="174" xr:uid="{00000000-0005-0000-0000-0000C7020000}"/>
    <cellStyle name="Encabez2" xfId="175" xr:uid="{00000000-0005-0000-0000-0000C8020000}"/>
    <cellStyle name="Encabezado 1 2" xfId="344" xr:uid="{00000000-0005-0000-0000-0000C9020000}"/>
    <cellStyle name="Encabezado 1 3" xfId="56" xr:uid="{00000000-0005-0000-0000-0000CA020000}"/>
    <cellStyle name="Encabezado 2" xfId="176" xr:uid="{00000000-0005-0000-0000-0000CB020000}"/>
    <cellStyle name="Euro" xfId="10" xr:uid="{00000000-0005-0000-0000-0000D4020000}"/>
    <cellStyle name="Euro 2" xfId="177" xr:uid="{00000000-0005-0000-0000-0000D5020000}"/>
    <cellStyle name="Explanatory Text" xfId="35" builtinId="53" customBuiltin="1"/>
    <cellStyle name="Explanatory Text 2" xfId="178" xr:uid="{00000000-0005-0000-0000-0000D6020000}"/>
    <cellStyle name="F2" xfId="179" xr:uid="{00000000-0005-0000-0000-0000D8020000}"/>
    <cellStyle name="F3" xfId="180" xr:uid="{00000000-0005-0000-0000-0000D9020000}"/>
    <cellStyle name="F4" xfId="181" xr:uid="{00000000-0005-0000-0000-0000DA020000}"/>
    <cellStyle name="F5" xfId="182" xr:uid="{00000000-0005-0000-0000-0000DB020000}"/>
    <cellStyle name="F6" xfId="183" xr:uid="{00000000-0005-0000-0000-0000DC020000}"/>
    <cellStyle name="F7" xfId="184" xr:uid="{00000000-0005-0000-0000-0000DD020000}"/>
    <cellStyle name="F8" xfId="185" xr:uid="{00000000-0005-0000-0000-0000DE020000}"/>
    <cellStyle name="Fecha" xfId="186" xr:uid="{00000000-0005-0000-0000-0000DF020000}"/>
    <cellStyle name="Fijo" xfId="187" xr:uid="{00000000-0005-0000-0000-0000E0020000}"/>
    <cellStyle name="Financiero" xfId="188" xr:uid="{00000000-0005-0000-0000-0000E1020000}"/>
    <cellStyle name="Fixed" xfId="189" xr:uid="{00000000-0005-0000-0000-0000E2020000}"/>
    <cellStyle name="Good" xfId="26" builtinId="26" customBuiltin="1"/>
    <cellStyle name="Good 2" xfId="190" xr:uid="{00000000-0005-0000-0000-0000E3020000}"/>
    <cellStyle name="Grey" xfId="191" xr:uid="{00000000-0005-0000-0000-0000E5020000}"/>
    <cellStyle name="group" xfId="192" xr:uid="{00000000-0005-0000-0000-0000E6020000}"/>
    <cellStyle name="Header1" xfId="193" xr:uid="{00000000-0005-0000-0000-0000E7020000}"/>
    <cellStyle name="Header1 2" xfId="4762" xr:uid="{61C709A0-BDBA-4775-BE6B-73097AA71B47}"/>
    <cellStyle name="Header1 2 2" xfId="4896" xr:uid="{F83E7BE7-9423-4F0F-B28E-53123B38989A}"/>
    <cellStyle name="Header1 2 3" xfId="5181" xr:uid="{7127AA19-3991-4E6D-8D59-B0186EE95B4B}"/>
    <cellStyle name="Header1 2 4" xfId="4911" xr:uid="{CA9D7BC2-AA57-4ECA-83A5-900CB6BB4762}"/>
    <cellStyle name="Header1 2 5" xfId="4983" xr:uid="{D90DBEF7-4B29-4549-BA1F-D48A309E1D98}"/>
    <cellStyle name="Header1 3" xfId="4860" xr:uid="{1B406D08-97E6-4DD1-BFC3-F4B1F4976AE0}"/>
    <cellStyle name="Header1 3 2" xfId="4898" xr:uid="{D1C3C8DD-2E3F-4C6B-B204-3354691E67D0}"/>
    <cellStyle name="Header1 3 3" xfId="5183" xr:uid="{AE973EF4-009B-4095-A517-A1FA22F1D6B0}"/>
    <cellStyle name="Header1 3 4" xfId="4909" xr:uid="{336CA3EE-EB6A-4493-AFBB-9154FCF0B7CE}"/>
    <cellStyle name="Header1 3 5" xfId="5029" xr:uid="{BA7DBCC3-4E68-421C-B8FD-E1BB94EAF9DB}"/>
    <cellStyle name="Header1 4" xfId="4563" xr:uid="{25ACC1D6-C331-4DC4-90DC-02C07AAD4393}"/>
    <cellStyle name="Header1 5" xfId="4959" xr:uid="{5BA2C185-69E1-4553-9818-A39362871A27}"/>
    <cellStyle name="Header1 6" xfId="4964" xr:uid="{82F45838-2716-4F3B-8B24-3160822B602B}"/>
    <cellStyle name="Header1 7" xfId="4966" xr:uid="{872808A5-7660-41F0-B9DA-E9EE5F7B2970}"/>
    <cellStyle name="Header1 8" xfId="4980" xr:uid="{5FB30A8E-0890-412C-8F6D-00BFED89ED17}"/>
    <cellStyle name="Header2" xfId="194" xr:uid="{00000000-0005-0000-0000-0000E8020000}"/>
    <cellStyle name="Header2 2" xfId="4763" xr:uid="{77967189-1474-44AA-8691-116A7654033B}"/>
    <cellStyle name="Header2 3" xfId="4784" xr:uid="{05D41952-04DD-4015-BCF1-8FA6367CA621}"/>
    <cellStyle name="Header2 4" xfId="4861" xr:uid="{6BDD8535-D0D1-4268-A98F-FEA466E88AB1}"/>
    <cellStyle name="Heading" xfId="195" xr:uid="{00000000-0005-0000-0000-0000E9020000}"/>
    <cellStyle name="Heading 1" xfId="4356" builtinId="16" customBuiltin="1"/>
    <cellStyle name="Heading 1 2" xfId="196" xr:uid="{00000000-0005-0000-0000-0000EA020000}"/>
    <cellStyle name="Heading 10" xfId="4981" xr:uid="{4B6FC574-F5C7-45CE-8E40-E20639FECB1D}"/>
    <cellStyle name="Heading 2" xfId="23" builtinId="17" customBuiltin="1"/>
    <cellStyle name="Heading 2 2" xfId="197" xr:uid="{00000000-0005-0000-0000-0000EC020000}"/>
    <cellStyle name="Heading 2 3" xfId="4364" xr:uid="{E1F9E252-8E64-4EB3-9D69-1922AF23C473}"/>
    <cellStyle name="Heading 3" xfId="24" builtinId="18" customBuiltin="1"/>
    <cellStyle name="Heading 3 2" xfId="198" xr:uid="{00000000-0005-0000-0000-0000EE020000}"/>
    <cellStyle name="Heading 3 2 2" xfId="4764" xr:uid="{708B6825-335B-4496-9C61-0CDD6CD8B75D}"/>
    <cellStyle name="Heading 3 2 2 2" xfId="5079" xr:uid="{18970BAA-477D-4E21-8F27-6DC72094C90B}"/>
    <cellStyle name="Heading 3 2 3" xfId="4862" xr:uid="{3B6A6F36-2C23-480A-A790-A3AC10418F2F}"/>
    <cellStyle name="Heading 3 2 3 2" xfId="5149" xr:uid="{C0063E41-14F2-4FEE-8F1A-EDBA59C50364}"/>
    <cellStyle name="Heading 3 2 4" xfId="4565" xr:uid="{7404085E-18FA-43CC-B877-C5B96D74BB6A}"/>
    <cellStyle name="Heading 3 2 5" xfId="4961" xr:uid="{C6B4889A-CC44-4E50-B65F-8A0561AEE6E4}"/>
    <cellStyle name="Heading 3 3" xfId="4365" xr:uid="{A37D32A9-E846-4625-B031-37BF109BA832}"/>
    <cellStyle name="Heading 4" xfId="25" builtinId="19" customBuiltin="1"/>
    <cellStyle name="Heading 4 2" xfId="199" xr:uid="{00000000-0005-0000-0000-0000F0020000}"/>
    <cellStyle name="Heading 5" xfId="4564" xr:uid="{6357661A-2B19-4CE2-82C9-5E897B2BCDBC}"/>
    <cellStyle name="Heading 6" xfId="4595" xr:uid="{A691A9A3-B69D-4FC6-9362-BE25B1DC0764}"/>
    <cellStyle name="Heading 7" xfId="4960" xr:uid="{F3284F15-9F0C-4F21-A8A2-B9913CB73301}"/>
    <cellStyle name="Heading 8" xfId="4982" xr:uid="{E16C5192-4CD6-4058-BC23-9FC8BF2BA634}"/>
    <cellStyle name="Heading 9" xfId="4965" xr:uid="{3D741EE1-ED67-479F-8A2D-3B23D04B3DF3}"/>
    <cellStyle name="Heading No Underline" xfId="200" xr:uid="{00000000-0005-0000-0000-0000F2020000}"/>
    <cellStyle name="Heading With Underline" xfId="201" xr:uid="{00000000-0005-0000-0000-0000F3020000}"/>
    <cellStyle name="Heading1" xfId="202" xr:uid="{00000000-0005-0000-0000-0000F4020000}"/>
    <cellStyle name="Heading2" xfId="203" xr:uid="{00000000-0005-0000-0000-0000F5020000}"/>
    <cellStyle name="Input" xfId="28" builtinId="20" customBuiltin="1"/>
    <cellStyle name="Input [yellow]" xfId="204" xr:uid="{00000000-0005-0000-0000-0000F7020000}"/>
    <cellStyle name="Input 2" xfId="205" xr:uid="{00000000-0005-0000-0000-0000F8020000}"/>
    <cellStyle name="Input 2 2" xfId="775" xr:uid="{00000000-0005-0000-0000-0000F9020000}"/>
    <cellStyle name="Input 2 2 2" xfId="4766" xr:uid="{48571F1B-98F1-4978-B918-7DC7E55B5951}"/>
    <cellStyle name="Input 2 2 3" xfId="4782" xr:uid="{F83BC68A-5201-4EC2-9E8D-D98DAC53CDFA}"/>
    <cellStyle name="Input 2 2 4" xfId="4863" xr:uid="{733291B1-F277-40BB-B999-6FA92BD7BCA5}"/>
    <cellStyle name="Input 2 3" xfId="4765" xr:uid="{76707B06-86DC-4F0A-A34A-164CDBBCB636}"/>
    <cellStyle name="Input 2 4" xfId="4783" xr:uid="{D52F8F9B-7020-4271-93D4-343870CE972B}"/>
    <cellStyle name="Input 2 5" xfId="4864" xr:uid="{4DBD39B8-9874-4AA6-B219-CA3C0108D822}"/>
    <cellStyle name="invisible" xfId="206" xr:uid="{00000000-0005-0000-0000-0000FB020000}"/>
    <cellStyle name="Linked Cell" xfId="31" builtinId="24" customBuiltin="1"/>
    <cellStyle name="Linked Cell 2" xfId="207" xr:uid="{00000000-0005-0000-0000-0000FC020000}"/>
    <cellStyle name="longtext" xfId="208" xr:uid="{00000000-0005-0000-0000-0000FE020000}"/>
    <cellStyle name="ltext" xfId="209" xr:uid="{00000000-0005-0000-0000-0000FF020000}"/>
    <cellStyle name="MainHead" xfId="210" xr:uid="{00000000-0005-0000-0000-000000030000}"/>
    <cellStyle name="miles" xfId="211" xr:uid="{00000000-0005-0000-0000-000001030000}"/>
    <cellStyle name="millares (0)" xfId="212" xr:uid="{00000000-0005-0000-0000-000003030000}"/>
    <cellStyle name="Millares [0] 10" xfId="4612" xr:uid="{BEE31E88-256F-469C-9241-AC2DD988AE59}"/>
    <cellStyle name="Millares [0] 10 2" xfId="4801" xr:uid="{57C4F718-568C-4E76-A28D-B6009034AA44}"/>
    <cellStyle name="Millares [0] 10 2 2" xfId="5100" xr:uid="{62DEC92A-6BB9-4D55-9EA1-191622CB8E53}"/>
    <cellStyle name="Millares [0] 10 3" xfId="4865" xr:uid="{0B965123-C985-4024-B086-D7F902BA127F}"/>
    <cellStyle name="Millares [0] 10 3 2" xfId="5150" xr:uid="{D97B9732-D892-4D14-88FC-BED1C4DDDB50}"/>
    <cellStyle name="Millares [0] 10 4" xfId="4989" xr:uid="{DD469EB7-AD6A-4360-9AD1-A687ECF607D3}"/>
    <cellStyle name="Millares [0] 11" xfId="4629" xr:uid="{7C194CFB-3087-417B-B57E-36724F490812}"/>
    <cellStyle name="Millares [0] 11 2" xfId="5005" xr:uid="{6FA4CFCC-F06B-4C1D-92E4-36182099F8EC}"/>
    <cellStyle name="Millares [0] 12" xfId="4866" xr:uid="{69961023-C28A-4F37-87D6-4CADE357C7AF}"/>
    <cellStyle name="Millares [0] 12 2" xfId="5151" xr:uid="{1C4E7694-9DAB-494C-ABEA-068C7F48AA82}"/>
    <cellStyle name="Millares [0] 2" xfId="398" xr:uid="{00000000-0005-0000-0000-000005030000}"/>
    <cellStyle name="Millares [0] 2 2" xfId="4382" xr:uid="{AB9F4969-B64F-4829-852F-AD5E59C61B91}"/>
    <cellStyle name="Millares [0] 2 2 2" xfId="4620" xr:uid="{618B99F0-18CF-42E2-A876-E78DAE1BE311}"/>
    <cellStyle name="Millares [0] 2 2 2 2" xfId="4997" xr:uid="{0584A5D3-CF12-4D3B-AFF8-C89929FC61EF}"/>
    <cellStyle name="Millares [0] 2 2 3" xfId="4867" xr:uid="{2F813C1A-2253-4CF6-97FA-F3C40D4C0BB6}"/>
    <cellStyle name="Millares [0] 2 2 3 2" xfId="5152" xr:uid="{0D5297FC-918A-48EA-84A7-CF915F613EEE}"/>
    <cellStyle name="Millares [0] 2 2 4" xfId="4901" xr:uid="{D8BFBF07-DECC-4071-B970-45C677169F1C}"/>
    <cellStyle name="Millares [0] 2 3" xfId="4566" xr:uid="{05AAC0E7-1AC5-44DE-82A6-ED35E5F48FC2}"/>
    <cellStyle name="Millares [0] 2 3 2" xfId="4767" xr:uid="{9D78847B-2B7E-4BEE-9A5E-C00BFB3EBD18}"/>
    <cellStyle name="Millares [0] 2 3 2 2" xfId="5080" xr:uid="{117F2473-BB81-4B63-B316-6692096DC747}"/>
    <cellStyle name="Millares [0] 2 3 3" xfId="4868" xr:uid="{56E80AB1-08F3-4AF8-86F1-F5B2554A5BF7}"/>
    <cellStyle name="Millares [0] 2 3 3 2" xfId="5153" xr:uid="{49F4E6E6-881C-4AAD-AE8E-0D33139139D7}"/>
    <cellStyle name="Millares [0] 2 3 4" xfId="4962" xr:uid="{2D7248AD-27B6-45EB-B7A1-FFA14CFF19D1}"/>
    <cellStyle name="Millares [0] 2 4" xfId="4613" xr:uid="{46CDB4A9-F6E0-4985-A2C0-7A03878C696E}"/>
    <cellStyle name="Millares [0] 2 4 2" xfId="4990" xr:uid="{A497D90F-1E6B-48C5-98FF-7FD103C364F7}"/>
    <cellStyle name="Millares [0] 2 5" xfId="4869" xr:uid="{8319F702-E65D-41F8-A918-D99AA1D810B5}"/>
    <cellStyle name="Millares [0] 2 5 2" xfId="5154" xr:uid="{DAF77EF2-FE12-4CBA-B1E4-BFD8E5988DF9}"/>
    <cellStyle name="Millares [0] 2 6" xfId="4366" xr:uid="{13D9215D-4095-482F-9384-CB7452212E3C}"/>
    <cellStyle name="Millares [0] 2 7" xfId="4899" xr:uid="{E83B871D-B473-4FD4-B10D-1DAE50DA2175}"/>
    <cellStyle name="Millares [0] 3" xfId="4337" xr:uid="{00000000-0005-0000-0000-000006030000}"/>
    <cellStyle name="Millares [0] 3 2" xfId="4624" xr:uid="{7F04B7A4-4296-4634-8888-8D0C48B9A8D8}"/>
    <cellStyle name="Millares [0] 3 2 2" xfId="5000" xr:uid="{F27D67B4-FBB1-4FCA-B59A-5F0DA1808897}"/>
    <cellStyle name="Millares [0] 3 3" xfId="4870" xr:uid="{03F87DB4-8A10-47C8-AFFC-2616A023FB65}"/>
    <cellStyle name="Millares [0] 3 3 2" xfId="5155" xr:uid="{E23B3B5B-B8F4-4012-87C7-689E4FE6D6BD}"/>
    <cellStyle name="Millares [0] 3 4" xfId="4387" xr:uid="{CB1420E1-121B-46B9-B9FF-432D3971055A}"/>
    <cellStyle name="Millares [0] 3 5" xfId="4902" xr:uid="{113E16B0-C7D6-4522-941D-5FEC7E8AC4A9}"/>
    <cellStyle name="Millares [0] 4" xfId="4388" xr:uid="{DEBA0051-2C26-45AF-8B01-645E440044FB}"/>
    <cellStyle name="Millares [0] 4 2" xfId="4625" xr:uid="{CBC18FF4-0A6E-4003-9573-C268BA3F19E5}"/>
    <cellStyle name="Millares [0] 4 2 2" xfId="5001" xr:uid="{7FE73A6A-867D-49DB-ACCD-0A4278BD1CE8}"/>
    <cellStyle name="Millares [0] 4 3" xfId="4871" xr:uid="{9D75A4D3-7ADE-437B-AEED-71595196445E}"/>
    <cellStyle name="Millares [0] 4 3 2" xfId="5156" xr:uid="{BA93289F-DBEE-424C-9A04-F3AC2BC90B53}"/>
    <cellStyle name="Millares [0] 4 4" xfId="4903" xr:uid="{143A2DBD-A939-4C40-B5B1-A5ED7B74496A}"/>
    <cellStyle name="Millares [0] 5" xfId="4512" xr:uid="{CF3FE442-C506-4695-93EF-CC54CAF3F13E}"/>
    <cellStyle name="Millares [0] 6" xfId="4514" xr:uid="{30C1116C-333F-49D6-9F50-22315DF52C7E}"/>
    <cellStyle name="Millares [0] 6 2" xfId="4707" xr:uid="{D1971E48-031C-4A67-884B-148B0EF60F74}"/>
    <cellStyle name="Millares [0] 6 2 2" xfId="5030" xr:uid="{5F4EC0D3-8F8D-436B-ABC3-792D76374AD0}"/>
    <cellStyle name="Millares [0] 6 3" xfId="4872" xr:uid="{6A509F9B-FC4F-4A7E-AE0B-287394EC675E}"/>
    <cellStyle name="Millares [0] 6 3 2" xfId="5157" xr:uid="{676F65DB-C7B4-4B19-A491-73A4CF633E33}"/>
    <cellStyle name="Millares [0] 6 4" xfId="4908" xr:uid="{4CF5FC85-8D92-4340-A9A2-7E21555010C9}"/>
    <cellStyle name="Millares [0] 7" xfId="4567" xr:uid="{86A81D66-15F2-417B-80D3-149672BF62D3}"/>
    <cellStyle name="Millares [0] 7 2" xfId="4768" xr:uid="{E7AD5002-F8B8-44C1-9824-99034B98245E}"/>
    <cellStyle name="Millares [0] 7 2 2" xfId="5081" xr:uid="{B8096CC0-1682-4CB0-88E7-8A2FC45F6041}"/>
    <cellStyle name="Millares [0] 7 3" xfId="4873" xr:uid="{61CF2AB2-8D77-4129-A040-EBCBB99B7F26}"/>
    <cellStyle name="Millares [0] 7 3 2" xfId="5158" xr:uid="{5794D246-444C-4995-8C79-722169320AB8}"/>
    <cellStyle name="Millares [0] 7 4" xfId="4963" xr:uid="{55346D4C-10EE-444A-AA71-379FD1B3D16E}"/>
    <cellStyle name="Millares [0] 8" xfId="4607" xr:uid="{D0719EF6-413C-4D0C-9120-6B8ED61B18BA}"/>
    <cellStyle name="Millares [0] 8 2" xfId="4797" xr:uid="{73E32FC2-F247-4711-9F78-3A3715E8FF74}"/>
    <cellStyle name="Millares [0] 8 2 2" xfId="5096" xr:uid="{8048971F-BF5C-4DCA-80B3-F171B3C96B6C}"/>
    <cellStyle name="Millares [0] 8 3" xfId="4874" xr:uid="{FF58114E-9752-4534-B1EA-9AA9C9FAE443}"/>
    <cellStyle name="Millares [0] 8 3 2" xfId="5159" xr:uid="{4CABA74D-9520-4574-9EEC-BB86AE04C500}"/>
    <cellStyle name="Millares [0] 8 4" xfId="4985" xr:uid="{9CE3ACC9-2CED-4A67-A5AB-1BF3305E6AA8}"/>
    <cellStyle name="Millares [0] 9" xfId="4610" xr:uid="{378520ED-21EE-431C-B730-53C85601D10C}"/>
    <cellStyle name="Millares [0] 9 2" xfId="4800" xr:uid="{146B7D3A-4D41-4925-9640-79B0855DE8BA}"/>
    <cellStyle name="Millares [0] 9 2 2" xfId="5099" xr:uid="{10BF6AC5-AB62-4172-8EF5-487D14231B24}"/>
    <cellStyle name="Millares [0] 9 3" xfId="4875" xr:uid="{C0E2E9F5-396C-49A5-99DB-B2AB0E8E0891}"/>
    <cellStyle name="Millares [0] 9 3 2" xfId="5160" xr:uid="{EE591840-2CB8-4FE7-8E04-4D9C2EAFCAB0}"/>
    <cellStyle name="Millares [0] 9 4" xfId="4988" xr:uid="{14A6CFA0-FE2A-4F8C-A1E1-13C45451EDC8}"/>
    <cellStyle name="Millares 10" xfId="7" xr:uid="{00000000-0005-0000-0000-000007030000}"/>
    <cellStyle name="Millares 10 10" xfId="2764" xr:uid="{00000000-0005-0000-0000-000008030000}"/>
    <cellStyle name="Millares 10 11" xfId="301" xr:uid="{00000000-0005-0000-0000-000009030000}"/>
    <cellStyle name="Millares 10 11 2" xfId="4637" xr:uid="{C6962132-6256-4B31-BF63-E1E3BED8C8CF}"/>
    <cellStyle name="Millares 10 11 3" xfId="5010" xr:uid="{180696F0-73A8-44BD-AF58-F3C2AD21B148}"/>
    <cellStyle name="Millares 10 12" xfId="4403" xr:uid="{ED80563A-0ABF-43F7-B9DF-1CDAB280D0DE}"/>
    <cellStyle name="Millares 10 2" xfId="379" xr:uid="{00000000-0005-0000-0000-00000A030000}"/>
    <cellStyle name="Millares 10 2 2" xfId="494" xr:uid="{00000000-0005-0000-0000-00000B030000}"/>
    <cellStyle name="Millares 10 2 2 2" xfId="722" xr:uid="{00000000-0005-0000-0000-00000C030000}"/>
    <cellStyle name="Millares 10 2 2 2 2" xfId="1122" xr:uid="{00000000-0005-0000-0000-00000D030000}"/>
    <cellStyle name="Millares 10 2 2 2 2 2" xfId="2705" xr:uid="{00000000-0005-0000-0000-00000E030000}"/>
    <cellStyle name="Millares 10 2 2 2 2 2 2" xfId="4287" xr:uid="{00000000-0005-0000-0000-00000F030000}"/>
    <cellStyle name="Millares 10 2 2 2 2 3" xfId="1914" xr:uid="{00000000-0005-0000-0000-000010030000}"/>
    <cellStyle name="Millares 10 2 2 2 2 4" xfId="3496" xr:uid="{00000000-0005-0000-0000-000011030000}"/>
    <cellStyle name="Millares 10 2 2 2 3" xfId="2311" xr:uid="{00000000-0005-0000-0000-000012030000}"/>
    <cellStyle name="Millares 10 2 2 2 3 2" xfId="3893" xr:uid="{00000000-0005-0000-0000-000013030000}"/>
    <cellStyle name="Millares 10 2 2 2 4" xfId="1520" xr:uid="{00000000-0005-0000-0000-000014030000}"/>
    <cellStyle name="Millares 10 2 2 2 5" xfId="3102" xr:uid="{00000000-0005-0000-0000-000015030000}"/>
    <cellStyle name="Millares 10 2 2 3" xfId="901" xr:uid="{00000000-0005-0000-0000-000016030000}"/>
    <cellStyle name="Millares 10 2 2 3 2" xfId="2484" xr:uid="{00000000-0005-0000-0000-000017030000}"/>
    <cellStyle name="Millares 10 2 2 3 2 2" xfId="4066" xr:uid="{00000000-0005-0000-0000-000018030000}"/>
    <cellStyle name="Millares 10 2 2 3 3" xfId="1693" xr:uid="{00000000-0005-0000-0000-000019030000}"/>
    <cellStyle name="Millares 10 2 2 3 4" xfId="3275" xr:uid="{00000000-0005-0000-0000-00001A030000}"/>
    <cellStyle name="Millares 10 2 2 4" xfId="2090" xr:uid="{00000000-0005-0000-0000-00001B030000}"/>
    <cellStyle name="Millares 10 2 2 4 2" xfId="3672" xr:uid="{00000000-0005-0000-0000-00001C030000}"/>
    <cellStyle name="Millares 10 2 2 5" xfId="1299" xr:uid="{00000000-0005-0000-0000-00001D030000}"/>
    <cellStyle name="Millares 10 2 2 6" xfId="2881" xr:uid="{00000000-0005-0000-0000-00001E030000}"/>
    <cellStyle name="Millares 10 2 3" xfId="571" xr:uid="{00000000-0005-0000-0000-00001F030000}"/>
    <cellStyle name="Millares 10 2 3 2" xfId="978" xr:uid="{00000000-0005-0000-0000-000020030000}"/>
    <cellStyle name="Millares 10 2 3 2 2" xfId="2561" xr:uid="{00000000-0005-0000-0000-000021030000}"/>
    <cellStyle name="Millares 10 2 3 2 2 2" xfId="4143" xr:uid="{00000000-0005-0000-0000-000022030000}"/>
    <cellStyle name="Millares 10 2 3 2 3" xfId="1770" xr:uid="{00000000-0005-0000-0000-000023030000}"/>
    <cellStyle name="Millares 10 2 3 2 4" xfId="3352" xr:uid="{00000000-0005-0000-0000-000024030000}"/>
    <cellStyle name="Millares 10 2 3 3" xfId="2167" xr:uid="{00000000-0005-0000-0000-000025030000}"/>
    <cellStyle name="Millares 10 2 3 3 2" xfId="3749" xr:uid="{00000000-0005-0000-0000-000026030000}"/>
    <cellStyle name="Millares 10 2 3 4" xfId="1376" xr:uid="{00000000-0005-0000-0000-000027030000}"/>
    <cellStyle name="Millares 10 2 3 5" xfId="2958" xr:uid="{00000000-0005-0000-0000-000028030000}"/>
    <cellStyle name="Millares 10 2 4" xfId="646" xr:uid="{00000000-0005-0000-0000-000029030000}"/>
    <cellStyle name="Millares 10 2 4 2" xfId="1046" xr:uid="{00000000-0005-0000-0000-00002A030000}"/>
    <cellStyle name="Millares 10 2 4 2 2" xfId="2629" xr:uid="{00000000-0005-0000-0000-00002B030000}"/>
    <cellStyle name="Millares 10 2 4 2 2 2" xfId="4211" xr:uid="{00000000-0005-0000-0000-00002C030000}"/>
    <cellStyle name="Millares 10 2 4 2 3" xfId="1838" xr:uid="{00000000-0005-0000-0000-00002D030000}"/>
    <cellStyle name="Millares 10 2 4 2 4" xfId="3420" xr:uid="{00000000-0005-0000-0000-00002E030000}"/>
    <cellStyle name="Millares 10 2 4 3" xfId="2235" xr:uid="{00000000-0005-0000-0000-00002F030000}"/>
    <cellStyle name="Millares 10 2 4 3 2" xfId="3817" xr:uid="{00000000-0005-0000-0000-000030030000}"/>
    <cellStyle name="Millares 10 2 4 4" xfId="1444" xr:uid="{00000000-0005-0000-0000-000031030000}"/>
    <cellStyle name="Millares 10 2 4 5" xfId="3026" xr:uid="{00000000-0005-0000-0000-000032030000}"/>
    <cellStyle name="Millares 10 2 5" xfId="825" xr:uid="{00000000-0005-0000-0000-000033030000}"/>
    <cellStyle name="Millares 10 2 5 2" xfId="2408" xr:uid="{00000000-0005-0000-0000-000034030000}"/>
    <cellStyle name="Millares 10 2 5 2 2" xfId="3990" xr:uid="{00000000-0005-0000-0000-000035030000}"/>
    <cellStyle name="Millares 10 2 5 3" xfId="1617" xr:uid="{00000000-0005-0000-0000-000036030000}"/>
    <cellStyle name="Millares 10 2 5 4" xfId="3199" xr:uid="{00000000-0005-0000-0000-000037030000}"/>
    <cellStyle name="Millares 10 2 6" xfId="2014" xr:uid="{00000000-0005-0000-0000-000038030000}"/>
    <cellStyle name="Millares 10 2 6 2" xfId="3596" xr:uid="{00000000-0005-0000-0000-000039030000}"/>
    <cellStyle name="Millares 10 2 7" xfId="1223" xr:uid="{00000000-0005-0000-0000-00003A030000}"/>
    <cellStyle name="Millares 10 2 8" xfId="2805" xr:uid="{00000000-0005-0000-0000-00003B030000}"/>
    <cellStyle name="Millares 10 3" xfId="453" xr:uid="{00000000-0005-0000-0000-00003C030000}"/>
    <cellStyle name="Millares 10 3 2" xfId="681" xr:uid="{00000000-0005-0000-0000-00003D030000}"/>
    <cellStyle name="Millares 10 3 2 2" xfId="1081" xr:uid="{00000000-0005-0000-0000-00003E030000}"/>
    <cellStyle name="Millares 10 3 2 2 2" xfId="2664" xr:uid="{00000000-0005-0000-0000-00003F030000}"/>
    <cellStyle name="Millares 10 3 2 2 2 2" xfId="4246" xr:uid="{00000000-0005-0000-0000-000040030000}"/>
    <cellStyle name="Millares 10 3 2 2 3" xfId="1873" xr:uid="{00000000-0005-0000-0000-000041030000}"/>
    <cellStyle name="Millares 10 3 2 2 4" xfId="3455" xr:uid="{00000000-0005-0000-0000-000042030000}"/>
    <cellStyle name="Millares 10 3 2 3" xfId="2270" xr:uid="{00000000-0005-0000-0000-000043030000}"/>
    <cellStyle name="Millares 10 3 2 3 2" xfId="3852" xr:uid="{00000000-0005-0000-0000-000044030000}"/>
    <cellStyle name="Millares 10 3 2 4" xfId="1479" xr:uid="{00000000-0005-0000-0000-000045030000}"/>
    <cellStyle name="Millares 10 3 2 5" xfId="3061" xr:uid="{00000000-0005-0000-0000-000046030000}"/>
    <cellStyle name="Millares 10 3 3" xfId="860" xr:uid="{00000000-0005-0000-0000-000047030000}"/>
    <cellStyle name="Millares 10 3 3 2" xfId="2443" xr:uid="{00000000-0005-0000-0000-000048030000}"/>
    <cellStyle name="Millares 10 3 3 2 2" xfId="4025" xr:uid="{00000000-0005-0000-0000-000049030000}"/>
    <cellStyle name="Millares 10 3 3 3" xfId="1652" xr:uid="{00000000-0005-0000-0000-00004A030000}"/>
    <cellStyle name="Millares 10 3 3 4" xfId="3234" xr:uid="{00000000-0005-0000-0000-00004B030000}"/>
    <cellStyle name="Millares 10 3 4" xfId="2049" xr:uid="{00000000-0005-0000-0000-00004C030000}"/>
    <cellStyle name="Millares 10 3 4 2" xfId="3631" xr:uid="{00000000-0005-0000-0000-00004D030000}"/>
    <cellStyle name="Millares 10 3 5" xfId="1258" xr:uid="{00000000-0005-0000-0000-00004E030000}"/>
    <cellStyle name="Millares 10 3 6" xfId="2840" xr:uid="{00000000-0005-0000-0000-00004F030000}"/>
    <cellStyle name="Millares 10 4" xfId="530" xr:uid="{00000000-0005-0000-0000-000050030000}"/>
    <cellStyle name="Millares 10 4 2" xfId="937" xr:uid="{00000000-0005-0000-0000-000051030000}"/>
    <cellStyle name="Millares 10 4 2 2" xfId="2520" xr:uid="{00000000-0005-0000-0000-000052030000}"/>
    <cellStyle name="Millares 10 4 2 2 2" xfId="4102" xr:uid="{00000000-0005-0000-0000-000053030000}"/>
    <cellStyle name="Millares 10 4 2 3" xfId="1729" xr:uid="{00000000-0005-0000-0000-000054030000}"/>
    <cellStyle name="Millares 10 4 2 4" xfId="3311" xr:uid="{00000000-0005-0000-0000-000055030000}"/>
    <cellStyle name="Millares 10 4 3" xfId="2126" xr:uid="{00000000-0005-0000-0000-000056030000}"/>
    <cellStyle name="Millares 10 4 3 2" xfId="3708" xr:uid="{00000000-0005-0000-0000-000057030000}"/>
    <cellStyle name="Millares 10 4 4" xfId="1335" xr:uid="{00000000-0005-0000-0000-000058030000}"/>
    <cellStyle name="Millares 10 4 5" xfId="2917" xr:uid="{00000000-0005-0000-0000-000059030000}"/>
    <cellStyle name="Millares 10 5" xfId="605" xr:uid="{00000000-0005-0000-0000-00005A030000}"/>
    <cellStyle name="Millares 10 5 2" xfId="1005" xr:uid="{00000000-0005-0000-0000-00005B030000}"/>
    <cellStyle name="Millares 10 5 2 2" xfId="2588" xr:uid="{00000000-0005-0000-0000-00005C030000}"/>
    <cellStyle name="Millares 10 5 2 2 2" xfId="4170" xr:uid="{00000000-0005-0000-0000-00005D030000}"/>
    <cellStyle name="Millares 10 5 2 3" xfId="1797" xr:uid="{00000000-0005-0000-0000-00005E030000}"/>
    <cellStyle name="Millares 10 5 2 4" xfId="3379" xr:uid="{00000000-0005-0000-0000-00005F030000}"/>
    <cellStyle name="Millares 10 5 3" xfId="2194" xr:uid="{00000000-0005-0000-0000-000060030000}"/>
    <cellStyle name="Millares 10 5 3 2" xfId="3776" xr:uid="{00000000-0005-0000-0000-000061030000}"/>
    <cellStyle name="Millares 10 5 4" xfId="1403" xr:uid="{00000000-0005-0000-0000-000062030000}"/>
    <cellStyle name="Millares 10 5 5" xfId="2985" xr:uid="{00000000-0005-0000-0000-000063030000}"/>
    <cellStyle name="Millares 10 6" xfId="757" xr:uid="{00000000-0005-0000-0000-000064030000}"/>
    <cellStyle name="Millares 10 6 2" xfId="1157" xr:uid="{00000000-0005-0000-0000-000065030000}"/>
    <cellStyle name="Millares 10 6 2 2" xfId="2740" xr:uid="{00000000-0005-0000-0000-000066030000}"/>
    <cellStyle name="Millares 10 6 2 2 2" xfId="4322" xr:uid="{00000000-0005-0000-0000-000067030000}"/>
    <cellStyle name="Millares 10 6 2 3" xfId="1949" xr:uid="{00000000-0005-0000-0000-000068030000}"/>
    <cellStyle name="Millares 10 6 2 4" xfId="3531" xr:uid="{00000000-0005-0000-0000-000069030000}"/>
    <cellStyle name="Millares 10 6 3" xfId="2346" xr:uid="{00000000-0005-0000-0000-00006A030000}"/>
    <cellStyle name="Millares 10 6 3 2" xfId="3928" xr:uid="{00000000-0005-0000-0000-00006B030000}"/>
    <cellStyle name="Millares 10 6 4" xfId="1555" xr:uid="{00000000-0005-0000-0000-00006C030000}"/>
    <cellStyle name="Millares 10 6 5" xfId="3137" xr:uid="{00000000-0005-0000-0000-00006D030000}"/>
    <cellStyle name="Millares 10 7" xfId="784" xr:uid="{00000000-0005-0000-0000-00006E030000}"/>
    <cellStyle name="Millares 10 7 2" xfId="2367" xr:uid="{00000000-0005-0000-0000-00006F030000}"/>
    <cellStyle name="Millares 10 7 2 2" xfId="3949" xr:uid="{00000000-0005-0000-0000-000070030000}"/>
    <cellStyle name="Millares 10 7 3" xfId="1576" xr:uid="{00000000-0005-0000-0000-000071030000}"/>
    <cellStyle name="Millares 10 7 4" xfId="3158" xr:uid="{00000000-0005-0000-0000-000072030000}"/>
    <cellStyle name="Millares 10 8" xfId="1973" xr:uid="{00000000-0005-0000-0000-000073030000}"/>
    <cellStyle name="Millares 10 8 2" xfId="3555" xr:uid="{00000000-0005-0000-0000-000074030000}"/>
    <cellStyle name="Millares 10 9" xfId="1182" xr:uid="{00000000-0005-0000-0000-000075030000}"/>
    <cellStyle name="Millares 11" xfId="308" xr:uid="{00000000-0005-0000-0000-000076030000}"/>
    <cellStyle name="Millares 11 10" xfId="2768" xr:uid="{00000000-0005-0000-0000-000077030000}"/>
    <cellStyle name="Millares 11 11" xfId="4632" xr:uid="{4F3BA149-2CFE-423C-8798-A0EA9F86DC6C}"/>
    <cellStyle name="Millares 11 11 2" xfId="5008" xr:uid="{57A91065-E473-4D86-9EA9-68C07108F90B}"/>
    <cellStyle name="Millares 11 12" xfId="4398" xr:uid="{7E3B0527-7723-43DA-B9DD-C61A9DE9ECE2}"/>
    <cellStyle name="Millares 11 2" xfId="386" xr:uid="{00000000-0005-0000-0000-000078030000}"/>
    <cellStyle name="Millares 11 2 2" xfId="498" xr:uid="{00000000-0005-0000-0000-000079030000}"/>
    <cellStyle name="Millares 11 2 2 2" xfId="726" xr:uid="{00000000-0005-0000-0000-00007A030000}"/>
    <cellStyle name="Millares 11 2 2 2 2" xfId="1126" xr:uid="{00000000-0005-0000-0000-00007B030000}"/>
    <cellStyle name="Millares 11 2 2 2 2 2" xfId="2709" xr:uid="{00000000-0005-0000-0000-00007C030000}"/>
    <cellStyle name="Millares 11 2 2 2 2 2 2" xfId="4291" xr:uid="{00000000-0005-0000-0000-00007D030000}"/>
    <cellStyle name="Millares 11 2 2 2 2 3" xfId="1918" xr:uid="{00000000-0005-0000-0000-00007E030000}"/>
    <cellStyle name="Millares 11 2 2 2 2 4" xfId="3500" xr:uid="{00000000-0005-0000-0000-00007F030000}"/>
    <cellStyle name="Millares 11 2 2 2 3" xfId="2315" xr:uid="{00000000-0005-0000-0000-000080030000}"/>
    <cellStyle name="Millares 11 2 2 2 3 2" xfId="3897" xr:uid="{00000000-0005-0000-0000-000081030000}"/>
    <cellStyle name="Millares 11 2 2 2 4" xfId="1524" xr:uid="{00000000-0005-0000-0000-000082030000}"/>
    <cellStyle name="Millares 11 2 2 2 5" xfId="3106" xr:uid="{00000000-0005-0000-0000-000083030000}"/>
    <cellStyle name="Millares 11 2 2 3" xfId="905" xr:uid="{00000000-0005-0000-0000-000084030000}"/>
    <cellStyle name="Millares 11 2 2 3 2" xfId="2488" xr:uid="{00000000-0005-0000-0000-000085030000}"/>
    <cellStyle name="Millares 11 2 2 3 2 2" xfId="4070" xr:uid="{00000000-0005-0000-0000-000086030000}"/>
    <cellStyle name="Millares 11 2 2 3 3" xfId="1697" xr:uid="{00000000-0005-0000-0000-000087030000}"/>
    <cellStyle name="Millares 11 2 2 3 4" xfId="3279" xr:uid="{00000000-0005-0000-0000-000088030000}"/>
    <cellStyle name="Millares 11 2 2 4" xfId="2094" xr:uid="{00000000-0005-0000-0000-000089030000}"/>
    <cellStyle name="Millares 11 2 2 4 2" xfId="3676" xr:uid="{00000000-0005-0000-0000-00008A030000}"/>
    <cellStyle name="Millares 11 2 2 5" xfId="1303" xr:uid="{00000000-0005-0000-0000-00008B030000}"/>
    <cellStyle name="Millares 11 2 2 6" xfId="2885" xr:uid="{00000000-0005-0000-0000-00008C030000}"/>
    <cellStyle name="Millares 11 2 3" xfId="575" xr:uid="{00000000-0005-0000-0000-00008D030000}"/>
    <cellStyle name="Millares 11 2 3 2" xfId="982" xr:uid="{00000000-0005-0000-0000-00008E030000}"/>
    <cellStyle name="Millares 11 2 3 2 2" xfId="2565" xr:uid="{00000000-0005-0000-0000-00008F030000}"/>
    <cellStyle name="Millares 11 2 3 2 2 2" xfId="4147" xr:uid="{00000000-0005-0000-0000-000090030000}"/>
    <cellStyle name="Millares 11 2 3 2 3" xfId="1774" xr:uid="{00000000-0005-0000-0000-000091030000}"/>
    <cellStyle name="Millares 11 2 3 2 4" xfId="3356" xr:uid="{00000000-0005-0000-0000-000092030000}"/>
    <cellStyle name="Millares 11 2 3 3" xfId="2171" xr:uid="{00000000-0005-0000-0000-000093030000}"/>
    <cellStyle name="Millares 11 2 3 3 2" xfId="3753" xr:uid="{00000000-0005-0000-0000-000094030000}"/>
    <cellStyle name="Millares 11 2 3 4" xfId="1380" xr:uid="{00000000-0005-0000-0000-000095030000}"/>
    <cellStyle name="Millares 11 2 3 5" xfId="2962" xr:uid="{00000000-0005-0000-0000-000096030000}"/>
    <cellStyle name="Millares 11 2 4" xfId="650" xr:uid="{00000000-0005-0000-0000-000097030000}"/>
    <cellStyle name="Millares 11 2 4 2" xfId="1050" xr:uid="{00000000-0005-0000-0000-000098030000}"/>
    <cellStyle name="Millares 11 2 4 2 2" xfId="2633" xr:uid="{00000000-0005-0000-0000-000099030000}"/>
    <cellStyle name="Millares 11 2 4 2 2 2" xfId="4215" xr:uid="{00000000-0005-0000-0000-00009A030000}"/>
    <cellStyle name="Millares 11 2 4 2 3" xfId="1842" xr:uid="{00000000-0005-0000-0000-00009B030000}"/>
    <cellStyle name="Millares 11 2 4 2 4" xfId="3424" xr:uid="{00000000-0005-0000-0000-00009C030000}"/>
    <cellStyle name="Millares 11 2 4 3" xfId="2239" xr:uid="{00000000-0005-0000-0000-00009D030000}"/>
    <cellStyle name="Millares 11 2 4 3 2" xfId="3821" xr:uid="{00000000-0005-0000-0000-00009E030000}"/>
    <cellStyle name="Millares 11 2 4 4" xfId="1448" xr:uid="{00000000-0005-0000-0000-00009F030000}"/>
    <cellStyle name="Millares 11 2 4 5" xfId="3030" xr:uid="{00000000-0005-0000-0000-0000A0030000}"/>
    <cellStyle name="Millares 11 2 5" xfId="829" xr:uid="{00000000-0005-0000-0000-0000A1030000}"/>
    <cellStyle name="Millares 11 2 5 2" xfId="2412" xr:uid="{00000000-0005-0000-0000-0000A2030000}"/>
    <cellStyle name="Millares 11 2 5 2 2" xfId="3994" xr:uid="{00000000-0005-0000-0000-0000A3030000}"/>
    <cellStyle name="Millares 11 2 5 3" xfId="1621" xr:uid="{00000000-0005-0000-0000-0000A4030000}"/>
    <cellStyle name="Millares 11 2 5 4" xfId="3203" xr:uid="{00000000-0005-0000-0000-0000A5030000}"/>
    <cellStyle name="Millares 11 2 6" xfId="2018" xr:uid="{00000000-0005-0000-0000-0000A6030000}"/>
    <cellStyle name="Millares 11 2 6 2" xfId="3600" xr:uid="{00000000-0005-0000-0000-0000A7030000}"/>
    <cellStyle name="Millares 11 2 7" xfId="1227" xr:uid="{00000000-0005-0000-0000-0000A8030000}"/>
    <cellStyle name="Millares 11 2 8" xfId="2809" xr:uid="{00000000-0005-0000-0000-0000A9030000}"/>
    <cellStyle name="Millares 11 3" xfId="457" xr:uid="{00000000-0005-0000-0000-0000AA030000}"/>
    <cellStyle name="Millares 11 3 2" xfId="685" xr:uid="{00000000-0005-0000-0000-0000AB030000}"/>
    <cellStyle name="Millares 11 3 2 2" xfId="1085" xr:uid="{00000000-0005-0000-0000-0000AC030000}"/>
    <cellStyle name="Millares 11 3 2 2 2" xfId="2668" xr:uid="{00000000-0005-0000-0000-0000AD030000}"/>
    <cellStyle name="Millares 11 3 2 2 2 2" xfId="4250" xr:uid="{00000000-0005-0000-0000-0000AE030000}"/>
    <cellStyle name="Millares 11 3 2 2 3" xfId="1877" xr:uid="{00000000-0005-0000-0000-0000AF030000}"/>
    <cellStyle name="Millares 11 3 2 2 4" xfId="3459" xr:uid="{00000000-0005-0000-0000-0000B0030000}"/>
    <cellStyle name="Millares 11 3 2 3" xfId="2274" xr:uid="{00000000-0005-0000-0000-0000B1030000}"/>
    <cellStyle name="Millares 11 3 2 3 2" xfId="3856" xr:uid="{00000000-0005-0000-0000-0000B2030000}"/>
    <cellStyle name="Millares 11 3 2 4" xfId="1483" xr:uid="{00000000-0005-0000-0000-0000B3030000}"/>
    <cellStyle name="Millares 11 3 2 5" xfId="3065" xr:uid="{00000000-0005-0000-0000-0000B4030000}"/>
    <cellStyle name="Millares 11 3 3" xfId="864" xr:uid="{00000000-0005-0000-0000-0000B5030000}"/>
    <cellStyle name="Millares 11 3 3 2" xfId="2447" xr:uid="{00000000-0005-0000-0000-0000B6030000}"/>
    <cellStyle name="Millares 11 3 3 2 2" xfId="4029" xr:uid="{00000000-0005-0000-0000-0000B7030000}"/>
    <cellStyle name="Millares 11 3 3 3" xfId="1656" xr:uid="{00000000-0005-0000-0000-0000B8030000}"/>
    <cellStyle name="Millares 11 3 3 4" xfId="3238" xr:uid="{00000000-0005-0000-0000-0000B9030000}"/>
    <cellStyle name="Millares 11 3 4" xfId="2053" xr:uid="{00000000-0005-0000-0000-0000BA030000}"/>
    <cellStyle name="Millares 11 3 4 2" xfId="3635" xr:uid="{00000000-0005-0000-0000-0000BB030000}"/>
    <cellStyle name="Millares 11 3 5" xfId="1262" xr:uid="{00000000-0005-0000-0000-0000BC030000}"/>
    <cellStyle name="Millares 11 3 6" xfId="2844" xr:uid="{00000000-0005-0000-0000-0000BD030000}"/>
    <cellStyle name="Millares 11 4" xfId="534" xr:uid="{00000000-0005-0000-0000-0000BE030000}"/>
    <cellStyle name="Millares 11 4 2" xfId="941" xr:uid="{00000000-0005-0000-0000-0000BF030000}"/>
    <cellStyle name="Millares 11 4 2 2" xfId="2524" xr:uid="{00000000-0005-0000-0000-0000C0030000}"/>
    <cellStyle name="Millares 11 4 2 2 2" xfId="4106" xr:uid="{00000000-0005-0000-0000-0000C1030000}"/>
    <cellStyle name="Millares 11 4 2 3" xfId="1733" xr:uid="{00000000-0005-0000-0000-0000C2030000}"/>
    <cellStyle name="Millares 11 4 2 4" xfId="3315" xr:uid="{00000000-0005-0000-0000-0000C3030000}"/>
    <cellStyle name="Millares 11 4 3" xfId="2130" xr:uid="{00000000-0005-0000-0000-0000C4030000}"/>
    <cellStyle name="Millares 11 4 3 2" xfId="3712" xr:uid="{00000000-0005-0000-0000-0000C5030000}"/>
    <cellStyle name="Millares 11 4 4" xfId="1339" xr:uid="{00000000-0005-0000-0000-0000C6030000}"/>
    <cellStyle name="Millares 11 4 5" xfId="2921" xr:uid="{00000000-0005-0000-0000-0000C7030000}"/>
    <cellStyle name="Millares 11 5" xfId="609" xr:uid="{00000000-0005-0000-0000-0000C8030000}"/>
    <cellStyle name="Millares 11 5 2" xfId="1009" xr:uid="{00000000-0005-0000-0000-0000C9030000}"/>
    <cellStyle name="Millares 11 5 2 2" xfId="2592" xr:uid="{00000000-0005-0000-0000-0000CA030000}"/>
    <cellStyle name="Millares 11 5 2 2 2" xfId="4174" xr:uid="{00000000-0005-0000-0000-0000CB030000}"/>
    <cellStyle name="Millares 11 5 2 3" xfId="1801" xr:uid="{00000000-0005-0000-0000-0000CC030000}"/>
    <cellStyle name="Millares 11 5 2 4" xfId="3383" xr:uid="{00000000-0005-0000-0000-0000CD030000}"/>
    <cellStyle name="Millares 11 5 3" xfId="2198" xr:uid="{00000000-0005-0000-0000-0000CE030000}"/>
    <cellStyle name="Millares 11 5 3 2" xfId="3780" xr:uid="{00000000-0005-0000-0000-0000CF030000}"/>
    <cellStyle name="Millares 11 5 4" xfId="1407" xr:uid="{00000000-0005-0000-0000-0000D0030000}"/>
    <cellStyle name="Millares 11 5 5" xfId="2989" xr:uid="{00000000-0005-0000-0000-0000D1030000}"/>
    <cellStyle name="Millares 11 6" xfId="761" xr:uid="{00000000-0005-0000-0000-0000D2030000}"/>
    <cellStyle name="Millares 11 6 2" xfId="1161" xr:uid="{00000000-0005-0000-0000-0000D3030000}"/>
    <cellStyle name="Millares 11 6 2 2" xfId="2744" xr:uid="{00000000-0005-0000-0000-0000D4030000}"/>
    <cellStyle name="Millares 11 6 2 2 2" xfId="4326" xr:uid="{00000000-0005-0000-0000-0000D5030000}"/>
    <cellStyle name="Millares 11 6 2 3" xfId="1953" xr:uid="{00000000-0005-0000-0000-0000D6030000}"/>
    <cellStyle name="Millares 11 6 2 4" xfId="3535" xr:uid="{00000000-0005-0000-0000-0000D7030000}"/>
    <cellStyle name="Millares 11 6 3" xfId="2350" xr:uid="{00000000-0005-0000-0000-0000D8030000}"/>
    <cellStyle name="Millares 11 6 3 2" xfId="3932" xr:uid="{00000000-0005-0000-0000-0000D9030000}"/>
    <cellStyle name="Millares 11 6 4" xfId="1559" xr:uid="{00000000-0005-0000-0000-0000DA030000}"/>
    <cellStyle name="Millares 11 6 5" xfId="3141" xr:uid="{00000000-0005-0000-0000-0000DB030000}"/>
    <cellStyle name="Millares 11 7" xfId="788" xr:uid="{00000000-0005-0000-0000-0000DC030000}"/>
    <cellStyle name="Millares 11 7 2" xfId="2371" xr:uid="{00000000-0005-0000-0000-0000DD030000}"/>
    <cellStyle name="Millares 11 7 2 2" xfId="3953" xr:uid="{00000000-0005-0000-0000-0000DE030000}"/>
    <cellStyle name="Millares 11 7 3" xfId="1580" xr:uid="{00000000-0005-0000-0000-0000DF030000}"/>
    <cellStyle name="Millares 11 7 4" xfId="3162" xr:uid="{00000000-0005-0000-0000-0000E0030000}"/>
    <cellStyle name="Millares 11 8" xfId="1977" xr:uid="{00000000-0005-0000-0000-0000E1030000}"/>
    <cellStyle name="Millares 11 8 2" xfId="3559" xr:uid="{00000000-0005-0000-0000-0000E2030000}"/>
    <cellStyle name="Millares 11 9" xfId="1186" xr:uid="{00000000-0005-0000-0000-0000E3030000}"/>
    <cellStyle name="Millares 12" xfId="347" xr:uid="{00000000-0005-0000-0000-0000E4030000}"/>
    <cellStyle name="Millares 12 10" xfId="4423" xr:uid="{E0F5773B-CFA1-4166-B8A5-B33DEAB7A2E4}"/>
    <cellStyle name="Millares 12 2" xfId="468" xr:uid="{00000000-0005-0000-0000-0000E5030000}"/>
    <cellStyle name="Millares 12 2 2" xfId="696" xr:uid="{00000000-0005-0000-0000-0000E6030000}"/>
    <cellStyle name="Millares 12 2 2 2" xfId="1096" xr:uid="{00000000-0005-0000-0000-0000E7030000}"/>
    <cellStyle name="Millares 12 2 2 2 2" xfId="2679" xr:uid="{00000000-0005-0000-0000-0000E8030000}"/>
    <cellStyle name="Millares 12 2 2 2 2 2" xfId="4261" xr:uid="{00000000-0005-0000-0000-0000E9030000}"/>
    <cellStyle name="Millares 12 2 2 2 3" xfId="1888" xr:uid="{00000000-0005-0000-0000-0000EA030000}"/>
    <cellStyle name="Millares 12 2 2 2 4" xfId="3470" xr:uid="{00000000-0005-0000-0000-0000EB030000}"/>
    <cellStyle name="Millares 12 2 2 3" xfId="2285" xr:uid="{00000000-0005-0000-0000-0000EC030000}"/>
    <cellStyle name="Millares 12 2 2 3 2" xfId="3867" xr:uid="{00000000-0005-0000-0000-0000ED030000}"/>
    <cellStyle name="Millares 12 2 2 4" xfId="1494" xr:uid="{00000000-0005-0000-0000-0000EE030000}"/>
    <cellStyle name="Millares 12 2 2 5" xfId="3076" xr:uid="{00000000-0005-0000-0000-0000EF030000}"/>
    <cellStyle name="Millares 12 2 3" xfId="875" xr:uid="{00000000-0005-0000-0000-0000F0030000}"/>
    <cellStyle name="Millares 12 2 3 2" xfId="2458" xr:uid="{00000000-0005-0000-0000-0000F1030000}"/>
    <cellStyle name="Millares 12 2 3 2 2" xfId="4040" xr:uid="{00000000-0005-0000-0000-0000F2030000}"/>
    <cellStyle name="Millares 12 2 3 3" xfId="1667" xr:uid="{00000000-0005-0000-0000-0000F3030000}"/>
    <cellStyle name="Millares 12 2 3 4" xfId="3249" xr:uid="{00000000-0005-0000-0000-0000F4030000}"/>
    <cellStyle name="Millares 12 2 4" xfId="2064" xr:uid="{00000000-0005-0000-0000-0000F5030000}"/>
    <cellStyle name="Millares 12 2 4 2" xfId="3646" xr:uid="{00000000-0005-0000-0000-0000F6030000}"/>
    <cellStyle name="Millares 12 2 5" xfId="1273" xr:uid="{00000000-0005-0000-0000-0000F7030000}"/>
    <cellStyle name="Millares 12 2 6" xfId="2855" xr:uid="{00000000-0005-0000-0000-0000F8030000}"/>
    <cellStyle name="Millares 12 3" xfId="545" xr:uid="{00000000-0005-0000-0000-0000F9030000}"/>
    <cellStyle name="Millares 12 3 2" xfId="952" xr:uid="{00000000-0005-0000-0000-0000FA030000}"/>
    <cellStyle name="Millares 12 3 2 2" xfId="2535" xr:uid="{00000000-0005-0000-0000-0000FB030000}"/>
    <cellStyle name="Millares 12 3 2 2 2" xfId="4117" xr:uid="{00000000-0005-0000-0000-0000FC030000}"/>
    <cellStyle name="Millares 12 3 2 3" xfId="1744" xr:uid="{00000000-0005-0000-0000-0000FD030000}"/>
    <cellStyle name="Millares 12 3 2 4" xfId="3326" xr:uid="{00000000-0005-0000-0000-0000FE030000}"/>
    <cellStyle name="Millares 12 3 3" xfId="2141" xr:uid="{00000000-0005-0000-0000-0000FF030000}"/>
    <cellStyle name="Millares 12 3 3 2" xfId="3723" xr:uid="{00000000-0005-0000-0000-000000040000}"/>
    <cellStyle name="Millares 12 3 4" xfId="1350" xr:uid="{00000000-0005-0000-0000-000001040000}"/>
    <cellStyle name="Millares 12 3 5" xfId="2932" xr:uid="{00000000-0005-0000-0000-000002040000}"/>
    <cellStyle name="Millares 12 4" xfId="620" xr:uid="{00000000-0005-0000-0000-000003040000}"/>
    <cellStyle name="Millares 12 4 2" xfId="1020" xr:uid="{00000000-0005-0000-0000-000004040000}"/>
    <cellStyle name="Millares 12 4 2 2" xfId="2603" xr:uid="{00000000-0005-0000-0000-000005040000}"/>
    <cellStyle name="Millares 12 4 2 2 2" xfId="4185" xr:uid="{00000000-0005-0000-0000-000006040000}"/>
    <cellStyle name="Millares 12 4 2 3" xfId="1812" xr:uid="{00000000-0005-0000-0000-000007040000}"/>
    <cellStyle name="Millares 12 4 2 4" xfId="3394" xr:uid="{00000000-0005-0000-0000-000008040000}"/>
    <cellStyle name="Millares 12 4 3" xfId="2209" xr:uid="{00000000-0005-0000-0000-000009040000}"/>
    <cellStyle name="Millares 12 4 3 2" xfId="3791" xr:uid="{00000000-0005-0000-0000-00000A040000}"/>
    <cellStyle name="Millares 12 4 4" xfId="1418" xr:uid="{00000000-0005-0000-0000-00000B040000}"/>
    <cellStyle name="Millares 12 4 5" xfId="3000" xr:uid="{00000000-0005-0000-0000-00000C040000}"/>
    <cellStyle name="Millares 12 5" xfId="799" xr:uid="{00000000-0005-0000-0000-00000D040000}"/>
    <cellStyle name="Millares 12 5 2" xfId="2382" xr:uid="{00000000-0005-0000-0000-00000E040000}"/>
    <cellStyle name="Millares 12 5 2 2" xfId="3964" xr:uid="{00000000-0005-0000-0000-00000F040000}"/>
    <cellStyle name="Millares 12 5 3" xfId="1591" xr:uid="{00000000-0005-0000-0000-000010040000}"/>
    <cellStyle name="Millares 12 5 4" xfId="3173" xr:uid="{00000000-0005-0000-0000-000011040000}"/>
    <cellStyle name="Millares 12 6" xfId="1988" xr:uid="{00000000-0005-0000-0000-000012040000}"/>
    <cellStyle name="Millares 12 6 2" xfId="3570" xr:uid="{00000000-0005-0000-0000-000013040000}"/>
    <cellStyle name="Millares 12 7" xfId="1197" xr:uid="{00000000-0005-0000-0000-000014040000}"/>
    <cellStyle name="Millares 12 8" xfId="2779" xr:uid="{00000000-0005-0000-0000-000015040000}"/>
    <cellStyle name="Millares 12 9" xfId="4654" xr:uid="{650C2937-5569-473E-824B-31E50C4D0418}"/>
    <cellStyle name="Millares 12 9 2" xfId="5027" xr:uid="{AFEE87E3-3B74-4BBA-890A-81C135D9A072}"/>
    <cellStyle name="Millares 13" xfId="365" xr:uid="{00000000-0005-0000-0000-000016040000}"/>
    <cellStyle name="Millares 13 10" xfId="4405" xr:uid="{ACF34E1D-5AA4-4EA4-B659-DC6313CA94B2}"/>
    <cellStyle name="Millares 13 2" xfId="483" xr:uid="{00000000-0005-0000-0000-000017040000}"/>
    <cellStyle name="Millares 13 2 2" xfId="711" xr:uid="{00000000-0005-0000-0000-000018040000}"/>
    <cellStyle name="Millares 13 2 2 2" xfId="1111" xr:uid="{00000000-0005-0000-0000-000019040000}"/>
    <cellStyle name="Millares 13 2 2 2 2" xfId="2694" xr:uid="{00000000-0005-0000-0000-00001A040000}"/>
    <cellStyle name="Millares 13 2 2 2 2 2" xfId="4276" xr:uid="{00000000-0005-0000-0000-00001B040000}"/>
    <cellStyle name="Millares 13 2 2 2 3" xfId="1903" xr:uid="{00000000-0005-0000-0000-00001C040000}"/>
    <cellStyle name="Millares 13 2 2 2 4" xfId="3485" xr:uid="{00000000-0005-0000-0000-00001D040000}"/>
    <cellStyle name="Millares 13 2 2 3" xfId="2300" xr:uid="{00000000-0005-0000-0000-00001E040000}"/>
    <cellStyle name="Millares 13 2 2 3 2" xfId="3882" xr:uid="{00000000-0005-0000-0000-00001F040000}"/>
    <cellStyle name="Millares 13 2 2 4" xfId="1509" xr:uid="{00000000-0005-0000-0000-000020040000}"/>
    <cellStyle name="Millares 13 2 2 5" xfId="3091" xr:uid="{00000000-0005-0000-0000-000021040000}"/>
    <cellStyle name="Millares 13 2 3" xfId="890" xr:uid="{00000000-0005-0000-0000-000022040000}"/>
    <cellStyle name="Millares 13 2 3 2" xfId="2473" xr:uid="{00000000-0005-0000-0000-000023040000}"/>
    <cellStyle name="Millares 13 2 3 2 2" xfId="4055" xr:uid="{00000000-0005-0000-0000-000024040000}"/>
    <cellStyle name="Millares 13 2 3 3" xfId="1682" xr:uid="{00000000-0005-0000-0000-000025040000}"/>
    <cellStyle name="Millares 13 2 3 4" xfId="3264" xr:uid="{00000000-0005-0000-0000-000026040000}"/>
    <cellStyle name="Millares 13 2 4" xfId="2079" xr:uid="{00000000-0005-0000-0000-000027040000}"/>
    <cellStyle name="Millares 13 2 4 2" xfId="3661" xr:uid="{00000000-0005-0000-0000-000028040000}"/>
    <cellStyle name="Millares 13 2 5" xfId="1288" xr:uid="{00000000-0005-0000-0000-000029040000}"/>
    <cellStyle name="Millares 13 2 6" xfId="2870" xr:uid="{00000000-0005-0000-0000-00002A040000}"/>
    <cellStyle name="Millares 13 3" xfId="560" xr:uid="{00000000-0005-0000-0000-00002B040000}"/>
    <cellStyle name="Millares 13 3 2" xfId="967" xr:uid="{00000000-0005-0000-0000-00002C040000}"/>
    <cellStyle name="Millares 13 3 2 2" xfId="2550" xr:uid="{00000000-0005-0000-0000-00002D040000}"/>
    <cellStyle name="Millares 13 3 2 2 2" xfId="4132" xr:uid="{00000000-0005-0000-0000-00002E040000}"/>
    <cellStyle name="Millares 13 3 2 3" xfId="1759" xr:uid="{00000000-0005-0000-0000-00002F040000}"/>
    <cellStyle name="Millares 13 3 2 4" xfId="3341" xr:uid="{00000000-0005-0000-0000-000030040000}"/>
    <cellStyle name="Millares 13 3 3" xfId="2156" xr:uid="{00000000-0005-0000-0000-000031040000}"/>
    <cellStyle name="Millares 13 3 3 2" xfId="3738" xr:uid="{00000000-0005-0000-0000-000032040000}"/>
    <cellStyle name="Millares 13 3 4" xfId="1365" xr:uid="{00000000-0005-0000-0000-000033040000}"/>
    <cellStyle name="Millares 13 3 5" xfId="2947" xr:uid="{00000000-0005-0000-0000-000034040000}"/>
    <cellStyle name="Millares 13 4" xfId="635" xr:uid="{00000000-0005-0000-0000-000035040000}"/>
    <cellStyle name="Millares 13 4 2" xfId="1035" xr:uid="{00000000-0005-0000-0000-000036040000}"/>
    <cellStyle name="Millares 13 4 2 2" xfId="2618" xr:uid="{00000000-0005-0000-0000-000037040000}"/>
    <cellStyle name="Millares 13 4 2 2 2" xfId="4200" xr:uid="{00000000-0005-0000-0000-000038040000}"/>
    <cellStyle name="Millares 13 4 2 3" xfId="1827" xr:uid="{00000000-0005-0000-0000-000039040000}"/>
    <cellStyle name="Millares 13 4 2 4" xfId="3409" xr:uid="{00000000-0005-0000-0000-00003A040000}"/>
    <cellStyle name="Millares 13 4 3" xfId="2224" xr:uid="{00000000-0005-0000-0000-00003B040000}"/>
    <cellStyle name="Millares 13 4 3 2" xfId="3806" xr:uid="{00000000-0005-0000-0000-00003C040000}"/>
    <cellStyle name="Millares 13 4 4" xfId="1433" xr:uid="{00000000-0005-0000-0000-00003D040000}"/>
    <cellStyle name="Millares 13 4 5" xfId="3015" xr:uid="{00000000-0005-0000-0000-00003E040000}"/>
    <cellStyle name="Millares 13 5" xfId="814" xr:uid="{00000000-0005-0000-0000-00003F040000}"/>
    <cellStyle name="Millares 13 5 2" xfId="2397" xr:uid="{00000000-0005-0000-0000-000040040000}"/>
    <cellStyle name="Millares 13 5 2 2" xfId="3979" xr:uid="{00000000-0005-0000-0000-000041040000}"/>
    <cellStyle name="Millares 13 5 3" xfId="1606" xr:uid="{00000000-0005-0000-0000-000042040000}"/>
    <cellStyle name="Millares 13 5 4" xfId="3188" xr:uid="{00000000-0005-0000-0000-000043040000}"/>
    <cellStyle name="Millares 13 6" xfId="2003" xr:uid="{00000000-0005-0000-0000-000044040000}"/>
    <cellStyle name="Millares 13 6 2" xfId="3585" xr:uid="{00000000-0005-0000-0000-000045040000}"/>
    <cellStyle name="Millares 13 7" xfId="1212" xr:uid="{00000000-0005-0000-0000-000046040000}"/>
    <cellStyle name="Millares 13 8" xfId="2794" xr:uid="{00000000-0005-0000-0000-000047040000}"/>
    <cellStyle name="Millares 13 9" xfId="4639" xr:uid="{E46CFC3C-84E1-4B66-A92C-00C057845277}"/>
    <cellStyle name="Millares 13 9 2" xfId="5012" xr:uid="{F307AC76-93F1-426D-A3F8-F9F28A1A6055}"/>
    <cellStyle name="Millares 14" xfId="351" xr:uid="{00000000-0005-0000-0000-000048040000}"/>
    <cellStyle name="Millares 14 10" xfId="4404" xr:uid="{58AEC833-17F9-4939-BBEA-358DFF5ACDC1}"/>
    <cellStyle name="Millares 14 2" xfId="472" xr:uid="{00000000-0005-0000-0000-000049040000}"/>
    <cellStyle name="Millares 14 2 2" xfId="700" xr:uid="{00000000-0005-0000-0000-00004A040000}"/>
    <cellStyle name="Millares 14 2 2 2" xfId="1100" xr:uid="{00000000-0005-0000-0000-00004B040000}"/>
    <cellStyle name="Millares 14 2 2 2 2" xfId="2683" xr:uid="{00000000-0005-0000-0000-00004C040000}"/>
    <cellStyle name="Millares 14 2 2 2 2 2" xfId="4265" xr:uid="{00000000-0005-0000-0000-00004D040000}"/>
    <cellStyle name="Millares 14 2 2 2 3" xfId="1892" xr:uid="{00000000-0005-0000-0000-00004E040000}"/>
    <cellStyle name="Millares 14 2 2 2 4" xfId="3474" xr:uid="{00000000-0005-0000-0000-00004F040000}"/>
    <cellStyle name="Millares 14 2 2 3" xfId="2289" xr:uid="{00000000-0005-0000-0000-000050040000}"/>
    <cellStyle name="Millares 14 2 2 3 2" xfId="3871" xr:uid="{00000000-0005-0000-0000-000051040000}"/>
    <cellStyle name="Millares 14 2 2 4" xfId="1498" xr:uid="{00000000-0005-0000-0000-000052040000}"/>
    <cellStyle name="Millares 14 2 2 5" xfId="3080" xr:uid="{00000000-0005-0000-0000-000053040000}"/>
    <cellStyle name="Millares 14 2 3" xfId="879" xr:uid="{00000000-0005-0000-0000-000054040000}"/>
    <cellStyle name="Millares 14 2 3 2" xfId="2462" xr:uid="{00000000-0005-0000-0000-000055040000}"/>
    <cellStyle name="Millares 14 2 3 2 2" xfId="4044" xr:uid="{00000000-0005-0000-0000-000056040000}"/>
    <cellStyle name="Millares 14 2 3 3" xfId="1671" xr:uid="{00000000-0005-0000-0000-000057040000}"/>
    <cellStyle name="Millares 14 2 3 4" xfId="3253" xr:uid="{00000000-0005-0000-0000-000058040000}"/>
    <cellStyle name="Millares 14 2 4" xfId="2068" xr:uid="{00000000-0005-0000-0000-000059040000}"/>
    <cellStyle name="Millares 14 2 4 2" xfId="3650" xr:uid="{00000000-0005-0000-0000-00005A040000}"/>
    <cellStyle name="Millares 14 2 5" xfId="1277" xr:uid="{00000000-0005-0000-0000-00005B040000}"/>
    <cellStyle name="Millares 14 2 6" xfId="2859" xr:uid="{00000000-0005-0000-0000-00005C040000}"/>
    <cellStyle name="Millares 14 3" xfId="549" xr:uid="{00000000-0005-0000-0000-00005D040000}"/>
    <cellStyle name="Millares 14 3 2" xfId="956" xr:uid="{00000000-0005-0000-0000-00005E040000}"/>
    <cellStyle name="Millares 14 3 2 2" xfId="2539" xr:uid="{00000000-0005-0000-0000-00005F040000}"/>
    <cellStyle name="Millares 14 3 2 2 2" xfId="4121" xr:uid="{00000000-0005-0000-0000-000060040000}"/>
    <cellStyle name="Millares 14 3 2 3" xfId="1748" xr:uid="{00000000-0005-0000-0000-000061040000}"/>
    <cellStyle name="Millares 14 3 2 4" xfId="3330" xr:uid="{00000000-0005-0000-0000-000062040000}"/>
    <cellStyle name="Millares 14 3 3" xfId="2145" xr:uid="{00000000-0005-0000-0000-000063040000}"/>
    <cellStyle name="Millares 14 3 3 2" xfId="3727" xr:uid="{00000000-0005-0000-0000-000064040000}"/>
    <cellStyle name="Millares 14 3 4" xfId="1354" xr:uid="{00000000-0005-0000-0000-000065040000}"/>
    <cellStyle name="Millares 14 3 5" xfId="2936" xr:uid="{00000000-0005-0000-0000-000066040000}"/>
    <cellStyle name="Millares 14 4" xfId="624" xr:uid="{00000000-0005-0000-0000-000067040000}"/>
    <cellStyle name="Millares 14 4 2" xfId="1024" xr:uid="{00000000-0005-0000-0000-000068040000}"/>
    <cellStyle name="Millares 14 4 2 2" xfId="2607" xr:uid="{00000000-0005-0000-0000-000069040000}"/>
    <cellStyle name="Millares 14 4 2 2 2" xfId="4189" xr:uid="{00000000-0005-0000-0000-00006A040000}"/>
    <cellStyle name="Millares 14 4 2 3" xfId="1816" xr:uid="{00000000-0005-0000-0000-00006B040000}"/>
    <cellStyle name="Millares 14 4 2 4" xfId="3398" xr:uid="{00000000-0005-0000-0000-00006C040000}"/>
    <cellStyle name="Millares 14 4 3" xfId="2213" xr:uid="{00000000-0005-0000-0000-00006D040000}"/>
    <cellStyle name="Millares 14 4 3 2" xfId="3795" xr:uid="{00000000-0005-0000-0000-00006E040000}"/>
    <cellStyle name="Millares 14 4 4" xfId="1422" xr:uid="{00000000-0005-0000-0000-00006F040000}"/>
    <cellStyle name="Millares 14 4 5" xfId="3004" xr:uid="{00000000-0005-0000-0000-000070040000}"/>
    <cellStyle name="Millares 14 5" xfId="803" xr:uid="{00000000-0005-0000-0000-000071040000}"/>
    <cellStyle name="Millares 14 5 2" xfId="2386" xr:uid="{00000000-0005-0000-0000-000072040000}"/>
    <cellStyle name="Millares 14 5 2 2" xfId="3968" xr:uid="{00000000-0005-0000-0000-000073040000}"/>
    <cellStyle name="Millares 14 5 3" xfId="1595" xr:uid="{00000000-0005-0000-0000-000074040000}"/>
    <cellStyle name="Millares 14 5 4" xfId="3177" xr:uid="{00000000-0005-0000-0000-000075040000}"/>
    <cellStyle name="Millares 14 6" xfId="1992" xr:uid="{00000000-0005-0000-0000-000076040000}"/>
    <cellStyle name="Millares 14 6 2" xfId="3574" xr:uid="{00000000-0005-0000-0000-000077040000}"/>
    <cellStyle name="Millares 14 7" xfId="1201" xr:uid="{00000000-0005-0000-0000-000078040000}"/>
    <cellStyle name="Millares 14 8" xfId="2783" xr:uid="{00000000-0005-0000-0000-000079040000}"/>
    <cellStyle name="Millares 14 9" xfId="4638" xr:uid="{7770D4B0-7438-4538-A6F8-DDB6DD2C99D0}"/>
    <cellStyle name="Millares 14 9 2" xfId="5011" xr:uid="{32D9467C-E72F-4503-AD07-007575B38520}"/>
    <cellStyle name="Millares 15" xfId="435" xr:uid="{00000000-0005-0000-0000-00007A040000}"/>
    <cellStyle name="Millares 15 10" xfId="4420" xr:uid="{FF8E8DB2-CD37-424E-BA40-0511D6858873}"/>
    <cellStyle name="Millares 15 2" xfId="511" xr:uid="{00000000-0005-0000-0000-00007B040000}"/>
    <cellStyle name="Millares 15 2 2" xfId="739" xr:uid="{00000000-0005-0000-0000-00007C040000}"/>
    <cellStyle name="Millares 15 2 2 2" xfId="1139" xr:uid="{00000000-0005-0000-0000-00007D040000}"/>
    <cellStyle name="Millares 15 2 2 2 2" xfId="2722" xr:uid="{00000000-0005-0000-0000-00007E040000}"/>
    <cellStyle name="Millares 15 2 2 2 2 2" xfId="4304" xr:uid="{00000000-0005-0000-0000-00007F040000}"/>
    <cellStyle name="Millares 15 2 2 2 3" xfId="1931" xr:uid="{00000000-0005-0000-0000-000080040000}"/>
    <cellStyle name="Millares 15 2 2 2 4" xfId="3513" xr:uid="{00000000-0005-0000-0000-000081040000}"/>
    <cellStyle name="Millares 15 2 2 3" xfId="2328" xr:uid="{00000000-0005-0000-0000-000082040000}"/>
    <cellStyle name="Millares 15 2 2 3 2" xfId="3910" xr:uid="{00000000-0005-0000-0000-000083040000}"/>
    <cellStyle name="Millares 15 2 2 4" xfId="1537" xr:uid="{00000000-0005-0000-0000-000084040000}"/>
    <cellStyle name="Millares 15 2 2 5" xfId="3119" xr:uid="{00000000-0005-0000-0000-000085040000}"/>
    <cellStyle name="Millares 15 2 3" xfId="918" xr:uid="{00000000-0005-0000-0000-000086040000}"/>
    <cellStyle name="Millares 15 2 3 2" xfId="2501" xr:uid="{00000000-0005-0000-0000-000087040000}"/>
    <cellStyle name="Millares 15 2 3 2 2" xfId="4083" xr:uid="{00000000-0005-0000-0000-000088040000}"/>
    <cellStyle name="Millares 15 2 3 3" xfId="1710" xr:uid="{00000000-0005-0000-0000-000089040000}"/>
    <cellStyle name="Millares 15 2 3 4" xfId="3292" xr:uid="{00000000-0005-0000-0000-00008A040000}"/>
    <cellStyle name="Millares 15 2 4" xfId="2107" xr:uid="{00000000-0005-0000-0000-00008B040000}"/>
    <cellStyle name="Millares 15 2 4 2" xfId="3689" xr:uid="{00000000-0005-0000-0000-00008C040000}"/>
    <cellStyle name="Millares 15 2 5" xfId="1316" xr:uid="{00000000-0005-0000-0000-00008D040000}"/>
    <cellStyle name="Millares 15 2 6" xfId="2898" xr:uid="{00000000-0005-0000-0000-00008E040000}"/>
    <cellStyle name="Millares 15 3" xfId="588" xr:uid="{00000000-0005-0000-0000-00008F040000}"/>
    <cellStyle name="Millares 15 3 2" xfId="995" xr:uid="{00000000-0005-0000-0000-000090040000}"/>
    <cellStyle name="Millares 15 3 2 2" xfId="2578" xr:uid="{00000000-0005-0000-0000-000091040000}"/>
    <cellStyle name="Millares 15 3 2 2 2" xfId="4160" xr:uid="{00000000-0005-0000-0000-000092040000}"/>
    <cellStyle name="Millares 15 3 2 3" xfId="1787" xr:uid="{00000000-0005-0000-0000-000093040000}"/>
    <cellStyle name="Millares 15 3 2 4" xfId="3369" xr:uid="{00000000-0005-0000-0000-000094040000}"/>
    <cellStyle name="Millares 15 3 3" xfId="2184" xr:uid="{00000000-0005-0000-0000-000095040000}"/>
    <cellStyle name="Millares 15 3 3 2" xfId="3766" xr:uid="{00000000-0005-0000-0000-000096040000}"/>
    <cellStyle name="Millares 15 3 4" xfId="1393" xr:uid="{00000000-0005-0000-0000-000097040000}"/>
    <cellStyle name="Millares 15 3 5" xfId="2975" xr:uid="{00000000-0005-0000-0000-000098040000}"/>
    <cellStyle name="Millares 15 4" xfId="663" xr:uid="{00000000-0005-0000-0000-000099040000}"/>
    <cellStyle name="Millares 15 4 2" xfId="1063" xr:uid="{00000000-0005-0000-0000-00009A040000}"/>
    <cellStyle name="Millares 15 4 2 2" xfId="2646" xr:uid="{00000000-0005-0000-0000-00009B040000}"/>
    <cellStyle name="Millares 15 4 2 2 2" xfId="4228" xr:uid="{00000000-0005-0000-0000-00009C040000}"/>
    <cellStyle name="Millares 15 4 2 3" xfId="1855" xr:uid="{00000000-0005-0000-0000-00009D040000}"/>
    <cellStyle name="Millares 15 4 2 4" xfId="3437" xr:uid="{00000000-0005-0000-0000-00009E040000}"/>
    <cellStyle name="Millares 15 4 3" xfId="2252" xr:uid="{00000000-0005-0000-0000-00009F040000}"/>
    <cellStyle name="Millares 15 4 3 2" xfId="3834" xr:uid="{00000000-0005-0000-0000-0000A0040000}"/>
    <cellStyle name="Millares 15 4 4" xfId="1461" xr:uid="{00000000-0005-0000-0000-0000A1040000}"/>
    <cellStyle name="Millares 15 4 5" xfId="3043" xr:uid="{00000000-0005-0000-0000-0000A2040000}"/>
    <cellStyle name="Millares 15 5" xfId="842" xr:uid="{00000000-0005-0000-0000-0000A3040000}"/>
    <cellStyle name="Millares 15 5 2" xfId="2425" xr:uid="{00000000-0005-0000-0000-0000A4040000}"/>
    <cellStyle name="Millares 15 5 2 2" xfId="4007" xr:uid="{00000000-0005-0000-0000-0000A5040000}"/>
    <cellStyle name="Millares 15 5 3" xfId="1634" xr:uid="{00000000-0005-0000-0000-0000A6040000}"/>
    <cellStyle name="Millares 15 5 4" xfId="3216" xr:uid="{00000000-0005-0000-0000-0000A7040000}"/>
    <cellStyle name="Millares 15 6" xfId="2031" xr:uid="{00000000-0005-0000-0000-0000A8040000}"/>
    <cellStyle name="Millares 15 6 2" xfId="3613" xr:uid="{00000000-0005-0000-0000-0000A9040000}"/>
    <cellStyle name="Millares 15 7" xfId="1240" xr:uid="{00000000-0005-0000-0000-0000AA040000}"/>
    <cellStyle name="Millares 15 8" xfId="2822" xr:uid="{00000000-0005-0000-0000-0000AB040000}"/>
    <cellStyle name="Millares 15 9" xfId="4652" xr:uid="{76EAEAD9-44A7-4BDB-9893-3B84B7C4272B}"/>
    <cellStyle name="Millares 15 9 2" xfId="5025" xr:uid="{69D92D39-4799-4E06-A97C-8BA813BBA43E}"/>
    <cellStyle name="Millares 16" xfId="369" xr:uid="{00000000-0005-0000-0000-0000AC040000}"/>
    <cellStyle name="Millares 16 10" xfId="4628" xr:uid="{8D66F296-B01E-4AE1-B35A-543F068DCB04}"/>
    <cellStyle name="Millares 16 10 2" xfId="5004" xr:uid="{D8E95B52-AA05-4D1D-925B-ED6D32F920F6}"/>
    <cellStyle name="Millares 16 11" xfId="4391" xr:uid="{14608148-DA5A-41D2-BE3E-850E2AE37F58}"/>
    <cellStyle name="Millares 16 2" xfId="487" xr:uid="{00000000-0005-0000-0000-0000AD040000}"/>
    <cellStyle name="Millares 16 2 2" xfId="715" xr:uid="{00000000-0005-0000-0000-0000AE040000}"/>
    <cellStyle name="Millares 16 2 2 2" xfId="1115" xr:uid="{00000000-0005-0000-0000-0000AF040000}"/>
    <cellStyle name="Millares 16 2 2 2 2" xfId="2698" xr:uid="{00000000-0005-0000-0000-0000B0040000}"/>
    <cellStyle name="Millares 16 2 2 2 2 2" xfId="4280" xr:uid="{00000000-0005-0000-0000-0000B1040000}"/>
    <cellStyle name="Millares 16 2 2 2 3" xfId="1907" xr:uid="{00000000-0005-0000-0000-0000B2040000}"/>
    <cellStyle name="Millares 16 2 2 2 4" xfId="3489" xr:uid="{00000000-0005-0000-0000-0000B3040000}"/>
    <cellStyle name="Millares 16 2 2 2 5" xfId="4568" xr:uid="{0E1B538D-479D-4F31-A94D-9ECB28C9138C}"/>
    <cellStyle name="Millares 16 2 2 2 6" xfId="4468" xr:uid="{B834CF4C-6811-4C07-B85E-C1E2F984E36F}"/>
    <cellStyle name="Millares 16 2 2 3" xfId="2304" xr:uid="{00000000-0005-0000-0000-0000B4040000}"/>
    <cellStyle name="Millares 16 2 2 3 2" xfId="3886" xr:uid="{00000000-0005-0000-0000-0000B5040000}"/>
    <cellStyle name="Millares 16 2 2 4" xfId="1513" xr:uid="{00000000-0005-0000-0000-0000B6040000}"/>
    <cellStyle name="Millares 16 2 2 5" xfId="3095" xr:uid="{00000000-0005-0000-0000-0000B7040000}"/>
    <cellStyle name="Millares 16 2 2 6" xfId="4569" xr:uid="{269A4DD7-500E-4656-8359-736C54338EC3}"/>
    <cellStyle name="Millares 16 2 2 7" xfId="4442" xr:uid="{40BEE368-C203-4ED8-9A9F-96C18D2C1BC3}"/>
    <cellStyle name="Millares 16 2 3" xfId="894" xr:uid="{00000000-0005-0000-0000-0000B8040000}"/>
    <cellStyle name="Millares 16 2 3 2" xfId="2477" xr:uid="{00000000-0005-0000-0000-0000B9040000}"/>
    <cellStyle name="Millares 16 2 3 2 2" xfId="4059" xr:uid="{00000000-0005-0000-0000-0000BA040000}"/>
    <cellStyle name="Millares 16 2 3 3" xfId="1686" xr:uid="{00000000-0005-0000-0000-0000BB040000}"/>
    <cellStyle name="Millares 16 2 3 4" xfId="3268" xr:uid="{00000000-0005-0000-0000-0000BC040000}"/>
    <cellStyle name="Millares 16 2 4" xfId="2083" xr:uid="{00000000-0005-0000-0000-0000BD040000}"/>
    <cellStyle name="Millares 16 2 4 2" xfId="3665" xr:uid="{00000000-0005-0000-0000-0000BE040000}"/>
    <cellStyle name="Millares 16 2 5" xfId="1292" xr:uid="{00000000-0005-0000-0000-0000BF040000}"/>
    <cellStyle name="Millares 16 2 6" xfId="2874" xr:uid="{00000000-0005-0000-0000-0000C0040000}"/>
    <cellStyle name="Millares 16 2 7" xfId="4570" xr:uid="{E3779DDA-AE74-4FED-A64C-8D8E8ACA537C}"/>
    <cellStyle name="Millares 16 2 8" xfId="4650" xr:uid="{04097B6A-7FBF-43C2-850E-E0D5AF64DC2F}"/>
    <cellStyle name="Millares 16 2 8 2" xfId="5023" xr:uid="{1FDD74C4-DA19-44B2-8807-6C9B4B04B624}"/>
    <cellStyle name="Millares 16 2 9" xfId="4418" xr:uid="{BB2BCC30-5E5E-424F-89E3-7372FFB60D75}"/>
    <cellStyle name="Millares 16 3" xfId="564" xr:uid="{00000000-0005-0000-0000-0000C1040000}"/>
    <cellStyle name="Millares 16 3 2" xfId="971" xr:uid="{00000000-0005-0000-0000-0000C2040000}"/>
    <cellStyle name="Millares 16 3 2 2" xfId="2554" xr:uid="{00000000-0005-0000-0000-0000C3040000}"/>
    <cellStyle name="Millares 16 3 2 2 2" xfId="4136" xr:uid="{00000000-0005-0000-0000-0000C4040000}"/>
    <cellStyle name="Millares 16 3 2 3" xfId="1763" xr:uid="{00000000-0005-0000-0000-0000C5040000}"/>
    <cellStyle name="Millares 16 3 2 4" xfId="3345" xr:uid="{00000000-0005-0000-0000-0000C6040000}"/>
    <cellStyle name="Millares 16 3 2 5" xfId="4571" xr:uid="{8DEDF3A1-0FA7-43D0-8DE3-4B723B9C68BA}"/>
    <cellStyle name="Millares 16 3 2 6" xfId="4461" xr:uid="{15CE6F74-57B6-4C07-8546-F9330A0B445D}"/>
    <cellStyle name="Millares 16 3 3" xfId="2160" xr:uid="{00000000-0005-0000-0000-0000C7040000}"/>
    <cellStyle name="Millares 16 3 3 2" xfId="3742" xr:uid="{00000000-0005-0000-0000-0000C8040000}"/>
    <cellStyle name="Millares 16 3 4" xfId="1369" xr:uid="{00000000-0005-0000-0000-0000C9040000}"/>
    <cellStyle name="Millares 16 3 5" xfId="2951" xr:uid="{00000000-0005-0000-0000-0000CA040000}"/>
    <cellStyle name="Millares 16 3 6" xfId="4572" xr:uid="{4A31FEE8-025A-4FF3-9BDF-F56023A4C559}"/>
    <cellStyle name="Millares 16 3 7" xfId="4433" xr:uid="{0F4673A2-D973-4D5D-B869-7F65B5C5E811}"/>
    <cellStyle name="Millares 16 4" xfId="639" xr:uid="{00000000-0005-0000-0000-0000CB040000}"/>
    <cellStyle name="Millares 16 4 2" xfId="1039" xr:uid="{00000000-0005-0000-0000-0000CC040000}"/>
    <cellStyle name="Millares 16 4 2 2" xfId="2622" xr:uid="{00000000-0005-0000-0000-0000CD040000}"/>
    <cellStyle name="Millares 16 4 2 2 2" xfId="4204" xr:uid="{00000000-0005-0000-0000-0000CE040000}"/>
    <cellStyle name="Millares 16 4 2 3" xfId="1831" xr:uid="{00000000-0005-0000-0000-0000CF040000}"/>
    <cellStyle name="Millares 16 4 2 4" xfId="3413" xr:uid="{00000000-0005-0000-0000-0000D0040000}"/>
    <cellStyle name="Millares 16 4 3" xfId="2228" xr:uid="{00000000-0005-0000-0000-0000D1040000}"/>
    <cellStyle name="Millares 16 4 3 2" xfId="3810" xr:uid="{00000000-0005-0000-0000-0000D2040000}"/>
    <cellStyle name="Millares 16 4 4" xfId="1437" xr:uid="{00000000-0005-0000-0000-0000D3040000}"/>
    <cellStyle name="Millares 16 4 5" xfId="3019" xr:uid="{00000000-0005-0000-0000-0000D4040000}"/>
    <cellStyle name="Millares 16 5" xfId="818" xr:uid="{00000000-0005-0000-0000-0000D5040000}"/>
    <cellStyle name="Millares 16 5 2" xfId="2401" xr:uid="{00000000-0005-0000-0000-0000D6040000}"/>
    <cellStyle name="Millares 16 5 2 2" xfId="3983" xr:uid="{00000000-0005-0000-0000-0000D7040000}"/>
    <cellStyle name="Millares 16 5 3" xfId="1610" xr:uid="{00000000-0005-0000-0000-0000D8040000}"/>
    <cellStyle name="Millares 16 5 4" xfId="3192" xr:uid="{00000000-0005-0000-0000-0000D9040000}"/>
    <cellStyle name="Millares 16 6" xfId="2007" xr:uid="{00000000-0005-0000-0000-0000DA040000}"/>
    <cellStyle name="Millares 16 6 2" xfId="3589" xr:uid="{00000000-0005-0000-0000-0000DB040000}"/>
    <cellStyle name="Millares 16 7" xfId="1216" xr:uid="{00000000-0005-0000-0000-0000DC040000}"/>
    <cellStyle name="Millares 16 8" xfId="2798" xr:uid="{00000000-0005-0000-0000-0000DD040000}"/>
    <cellStyle name="Millares 16 9" xfId="4573" xr:uid="{6A1608C1-5F1F-43E1-924D-7D757F6C3AF2}"/>
    <cellStyle name="Millares 17" xfId="353" xr:uid="{00000000-0005-0000-0000-0000DE040000}"/>
    <cellStyle name="Millares 17 10" xfId="4413" xr:uid="{253C0ACB-CC17-4FA4-BE1B-2028A6D65899}"/>
    <cellStyle name="Millares 17 2" xfId="474" xr:uid="{00000000-0005-0000-0000-0000DF040000}"/>
    <cellStyle name="Millares 17 2 2" xfId="702" xr:uid="{00000000-0005-0000-0000-0000E0040000}"/>
    <cellStyle name="Millares 17 2 2 2" xfId="1102" xr:uid="{00000000-0005-0000-0000-0000E1040000}"/>
    <cellStyle name="Millares 17 2 2 2 2" xfId="2685" xr:uid="{00000000-0005-0000-0000-0000E2040000}"/>
    <cellStyle name="Millares 17 2 2 2 2 2" xfId="4267" xr:uid="{00000000-0005-0000-0000-0000E3040000}"/>
    <cellStyle name="Millares 17 2 2 2 3" xfId="1894" xr:uid="{00000000-0005-0000-0000-0000E4040000}"/>
    <cellStyle name="Millares 17 2 2 2 4" xfId="3476" xr:uid="{00000000-0005-0000-0000-0000E5040000}"/>
    <cellStyle name="Millares 17 2 2 3" xfId="2291" xr:uid="{00000000-0005-0000-0000-0000E6040000}"/>
    <cellStyle name="Millares 17 2 2 3 2" xfId="3873" xr:uid="{00000000-0005-0000-0000-0000E7040000}"/>
    <cellStyle name="Millares 17 2 2 4" xfId="1500" xr:uid="{00000000-0005-0000-0000-0000E8040000}"/>
    <cellStyle name="Millares 17 2 2 5" xfId="3082" xr:uid="{00000000-0005-0000-0000-0000E9040000}"/>
    <cellStyle name="Millares 17 2 3" xfId="881" xr:uid="{00000000-0005-0000-0000-0000EA040000}"/>
    <cellStyle name="Millares 17 2 3 2" xfId="2464" xr:uid="{00000000-0005-0000-0000-0000EB040000}"/>
    <cellStyle name="Millares 17 2 3 2 2" xfId="4046" xr:uid="{00000000-0005-0000-0000-0000EC040000}"/>
    <cellStyle name="Millares 17 2 3 3" xfId="1673" xr:uid="{00000000-0005-0000-0000-0000ED040000}"/>
    <cellStyle name="Millares 17 2 3 4" xfId="3255" xr:uid="{00000000-0005-0000-0000-0000EE040000}"/>
    <cellStyle name="Millares 17 2 4" xfId="2070" xr:uid="{00000000-0005-0000-0000-0000EF040000}"/>
    <cellStyle name="Millares 17 2 4 2" xfId="3652" xr:uid="{00000000-0005-0000-0000-0000F0040000}"/>
    <cellStyle name="Millares 17 2 5" xfId="1279" xr:uid="{00000000-0005-0000-0000-0000F1040000}"/>
    <cellStyle name="Millares 17 2 6" xfId="2861" xr:uid="{00000000-0005-0000-0000-0000F2040000}"/>
    <cellStyle name="Millares 17 3" xfId="551" xr:uid="{00000000-0005-0000-0000-0000F3040000}"/>
    <cellStyle name="Millares 17 3 2" xfId="958" xr:uid="{00000000-0005-0000-0000-0000F4040000}"/>
    <cellStyle name="Millares 17 3 2 2" xfId="2541" xr:uid="{00000000-0005-0000-0000-0000F5040000}"/>
    <cellStyle name="Millares 17 3 2 2 2" xfId="4123" xr:uid="{00000000-0005-0000-0000-0000F6040000}"/>
    <cellStyle name="Millares 17 3 2 3" xfId="1750" xr:uid="{00000000-0005-0000-0000-0000F7040000}"/>
    <cellStyle name="Millares 17 3 2 4" xfId="3332" xr:uid="{00000000-0005-0000-0000-0000F8040000}"/>
    <cellStyle name="Millares 17 3 3" xfId="2147" xr:uid="{00000000-0005-0000-0000-0000F9040000}"/>
    <cellStyle name="Millares 17 3 3 2" xfId="3729" xr:uid="{00000000-0005-0000-0000-0000FA040000}"/>
    <cellStyle name="Millares 17 3 4" xfId="1356" xr:uid="{00000000-0005-0000-0000-0000FB040000}"/>
    <cellStyle name="Millares 17 3 5" xfId="2938" xr:uid="{00000000-0005-0000-0000-0000FC040000}"/>
    <cellStyle name="Millares 17 4" xfId="626" xr:uid="{00000000-0005-0000-0000-0000FD040000}"/>
    <cellStyle name="Millares 17 4 2" xfId="1026" xr:uid="{00000000-0005-0000-0000-0000FE040000}"/>
    <cellStyle name="Millares 17 4 2 2" xfId="2609" xr:uid="{00000000-0005-0000-0000-0000FF040000}"/>
    <cellStyle name="Millares 17 4 2 2 2" xfId="4191" xr:uid="{00000000-0005-0000-0000-000000050000}"/>
    <cellStyle name="Millares 17 4 2 3" xfId="1818" xr:uid="{00000000-0005-0000-0000-000001050000}"/>
    <cellStyle name="Millares 17 4 2 4" xfId="3400" xr:uid="{00000000-0005-0000-0000-000002050000}"/>
    <cellStyle name="Millares 17 4 3" xfId="2215" xr:uid="{00000000-0005-0000-0000-000003050000}"/>
    <cellStyle name="Millares 17 4 3 2" xfId="3797" xr:uid="{00000000-0005-0000-0000-000004050000}"/>
    <cellStyle name="Millares 17 4 4" xfId="1424" xr:uid="{00000000-0005-0000-0000-000005050000}"/>
    <cellStyle name="Millares 17 4 5" xfId="3006" xr:uid="{00000000-0005-0000-0000-000006050000}"/>
    <cellStyle name="Millares 17 5" xfId="805" xr:uid="{00000000-0005-0000-0000-000007050000}"/>
    <cellStyle name="Millares 17 5 2" xfId="2388" xr:uid="{00000000-0005-0000-0000-000008050000}"/>
    <cellStyle name="Millares 17 5 2 2" xfId="3970" xr:uid="{00000000-0005-0000-0000-000009050000}"/>
    <cellStyle name="Millares 17 5 3" xfId="1597" xr:uid="{00000000-0005-0000-0000-00000A050000}"/>
    <cellStyle name="Millares 17 5 4" xfId="3179" xr:uid="{00000000-0005-0000-0000-00000B050000}"/>
    <cellStyle name="Millares 17 6" xfId="1994" xr:uid="{00000000-0005-0000-0000-00000C050000}"/>
    <cellStyle name="Millares 17 6 2" xfId="3576" xr:uid="{00000000-0005-0000-0000-00000D050000}"/>
    <cellStyle name="Millares 17 7" xfId="1203" xr:uid="{00000000-0005-0000-0000-00000E050000}"/>
    <cellStyle name="Millares 17 8" xfId="2785" xr:uid="{00000000-0005-0000-0000-00000F050000}"/>
    <cellStyle name="Millares 17 9" xfId="4646" xr:uid="{DF564CA2-CCD5-441D-A7B5-99A4BFBEBC3B}"/>
    <cellStyle name="Millares 17 9 2" xfId="5019" xr:uid="{44B20992-4F10-4EC6-B338-53E88A0CA2C0}"/>
    <cellStyle name="Millares 18" xfId="432" xr:uid="{00000000-0005-0000-0000-000010050000}"/>
    <cellStyle name="Millares 18 10" xfId="4425" xr:uid="{4DF36861-8E52-4C44-B155-150549510380}"/>
    <cellStyle name="Millares 18 2" xfId="508" xr:uid="{00000000-0005-0000-0000-000011050000}"/>
    <cellStyle name="Millares 18 2 2" xfId="736" xr:uid="{00000000-0005-0000-0000-000012050000}"/>
    <cellStyle name="Millares 18 2 2 2" xfId="1136" xr:uid="{00000000-0005-0000-0000-000013050000}"/>
    <cellStyle name="Millares 18 2 2 2 2" xfId="2719" xr:uid="{00000000-0005-0000-0000-000014050000}"/>
    <cellStyle name="Millares 18 2 2 2 2 2" xfId="4301" xr:uid="{00000000-0005-0000-0000-000015050000}"/>
    <cellStyle name="Millares 18 2 2 2 3" xfId="1928" xr:uid="{00000000-0005-0000-0000-000016050000}"/>
    <cellStyle name="Millares 18 2 2 2 4" xfId="3510" xr:uid="{00000000-0005-0000-0000-000017050000}"/>
    <cellStyle name="Millares 18 2 2 3" xfId="2325" xr:uid="{00000000-0005-0000-0000-000018050000}"/>
    <cellStyle name="Millares 18 2 2 3 2" xfId="3907" xr:uid="{00000000-0005-0000-0000-000019050000}"/>
    <cellStyle name="Millares 18 2 2 4" xfId="1534" xr:uid="{00000000-0005-0000-0000-00001A050000}"/>
    <cellStyle name="Millares 18 2 2 5" xfId="3116" xr:uid="{00000000-0005-0000-0000-00001B050000}"/>
    <cellStyle name="Millares 18 2 3" xfId="915" xr:uid="{00000000-0005-0000-0000-00001C050000}"/>
    <cellStyle name="Millares 18 2 3 2" xfId="2498" xr:uid="{00000000-0005-0000-0000-00001D050000}"/>
    <cellStyle name="Millares 18 2 3 2 2" xfId="4080" xr:uid="{00000000-0005-0000-0000-00001E050000}"/>
    <cellStyle name="Millares 18 2 3 3" xfId="1707" xr:uid="{00000000-0005-0000-0000-00001F050000}"/>
    <cellStyle name="Millares 18 2 3 4" xfId="3289" xr:uid="{00000000-0005-0000-0000-000020050000}"/>
    <cellStyle name="Millares 18 2 4" xfId="2104" xr:uid="{00000000-0005-0000-0000-000021050000}"/>
    <cellStyle name="Millares 18 2 4 2" xfId="3686" xr:uid="{00000000-0005-0000-0000-000022050000}"/>
    <cellStyle name="Millares 18 2 5" xfId="1313" xr:uid="{00000000-0005-0000-0000-000023050000}"/>
    <cellStyle name="Millares 18 2 6" xfId="2895" xr:uid="{00000000-0005-0000-0000-000024050000}"/>
    <cellStyle name="Millares 18 3" xfId="585" xr:uid="{00000000-0005-0000-0000-000025050000}"/>
    <cellStyle name="Millares 18 3 2" xfId="992" xr:uid="{00000000-0005-0000-0000-000026050000}"/>
    <cellStyle name="Millares 18 3 2 2" xfId="2575" xr:uid="{00000000-0005-0000-0000-000027050000}"/>
    <cellStyle name="Millares 18 3 2 2 2" xfId="4157" xr:uid="{00000000-0005-0000-0000-000028050000}"/>
    <cellStyle name="Millares 18 3 2 3" xfId="1784" xr:uid="{00000000-0005-0000-0000-000029050000}"/>
    <cellStyle name="Millares 18 3 2 4" xfId="3366" xr:uid="{00000000-0005-0000-0000-00002A050000}"/>
    <cellStyle name="Millares 18 3 3" xfId="2181" xr:uid="{00000000-0005-0000-0000-00002B050000}"/>
    <cellStyle name="Millares 18 3 3 2" xfId="3763" xr:uid="{00000000-0005-0000-0000-00002C050000}"/>
    <cellStyle name="Millares 18 3 4" xfId="1390" xr:uid="{00000000-0005-0000-0000-00002D050000}"/>
    <cellStyle name="Millares 18 3 5" xfId="2972" xr:uid="{00000000-0005-0000-0000-00002E050000}"/>
    <cellStyle name="Millares 18 4" xfId="660" xr:uid="{00000000-0005-0000-0000-00002F050000}"/>
    <cellStyle name="Millares 18 4 2" xfId="1060" xr:uid="{00000000-0005-0000-0000-000030050000}"/>
    <cellStyle name="Millares 18 4 2 2" xfId="2643" xr:uid="{00000000-0005-0000-0000-000031050000}"/>
    <cellStyle name="Millares 18 4 2 2 2" xfId="4225" xr:uid="{00000000-0005-0000-0000-000032050000}"/>
    <cellStyle name="Millares 18 4 2 3" xfId="1852" xr:uid="{00000000-0005-0000-0000-000033050000}"/>
    <cellStyle name="Millares 18 4 2 4" xfId="3434" xr:uid="{00000000-0005-0000-0000-000034050000}"/>
    <cellStyle name="Millares 18 4 3" xfId="2249" xr:uid="{00000000-0005-0000-0000-000035050000}"/>
    <cellStyle name="Millares 18 4 3 2" xfId="3831" xr:uid="{00000000-0005-0000-0000-000036050000}"/>
    <cellStyle name="Millares 18 4 4" xfId="1458" xr:uid="{00000000-0005-0000-0000-000037050000}"/>
    <cellStyle name="Millares 18 4 5" xfId="3040" xr:uid="{00000000-0005-0000-0000-000038050000}"/>
    <cellStyle name="Millares 18 5" xfId="839" xr:uid="{00000000-0005-0000-0000-000039050000}"/>
    <cellStyle name="Millares 18 5 2" xfId="2422" xr:uid="{00000000-0005-0000-0000-00003A050000}"/>
    <cellStyle name="Millares 18 5 2 2" xfId="4004" xr:uid="{00000000-0005-0000-0000-00003B050000}"/>
    <cellStyle name="Millares 18 5 3" xfId="1631" xr:uid="{00000000-0005-0000-0000-00003C050000}"/>
    <cellStyle name="Millares 18 5 4" xfId="3213" xr:uid="{00000000-0005-0000-0000-00003D050000}"/>
    <cellStyle name="Millares 18 6" xfId="2028" xr:uid="{00000000-0005-0000-0000-00003E050000}"/>
    <cellStyle name="Millares 18 6 2" xfId="3610" xr:uid="{00000000-0005-0000-0000-00003F050000}"/>
    <cellStyle name="Millares 18 7" xfId="1237" xr:uid="{00000000-0005-0000-0000-000040050000}"/>
    <cellStyle name="Millares 18 8" xfId="2819" xr:uid="{00000000-0005-0000-0000-000041050000}"/>
    <cellStyle name="Millares 18 9" xfId="4656" xr:uid="{0BC4C682-D516-4915-A008-970D06D219DE}"/>
    <cellStyle name="Millares 18 9 2" xfId="5028" xr:uid="{CC8E614B-D6DF-402A-B2B0-12ABC150FD50}"/>
    <cellStyle name="Millares 19" xfId="366" xr:uid="{00000000-0005-0000-0000-000042050000}"/>
    <cellStyle name="Millares 19 10" xfId="4397" xr:uid="{0DA6B6A2-4BAB-45CC-AB12-174361DBD708}"/>
    <cellStyle name="Millares 19 2" xfId="484" xr:uid="{00000000-0005-0000-0000-000043050000}"/>
    <cellStyle name="Millares 19 2 2" xfId="712" xr:uid="{00000000-0005-0000-0000-000044050000}"/>
    <cellStyle name="Millares 19 2 2 2" xfId="1112" xr:uid="{00000000-0005-0000-0000-000045050000}"/>
    <cellStyle name="Millares 19 2 2 2 2" xfId="2695" xr:uid="{00000000-0005-0000-0000-000046050000}"/>
    <cellStyle name="Millares 19 2 2 2 2 2" xfId="4277" xr:uid="{00000000-0005-0000-0000-000047050000}"/>
    <cellStyle name="Millares 19 2 2 2 3" xfId="1904" xr:uid="{00000000-0005-0000-0000-000048050000}"/>
    <cellStyle name="Millares 19 2 2 2 4" xfId="3486" xr:uid="{00000000-0005-0000-0000-000049050000}"/>
    <cellStyle name="Millares 19 2 2 3" xfId="2301" xr:uid="{00000000-0005-0000-0000-00004A050000}"/>
    <cellStyle name="Millares 19 2 2 3 2" xfId="3883" xr:uid="{00000000-0005-0000-0000-00004B050000}"/>
    <cellStyle name="Millares 19 2 2 4" xfId="1510" xr:uid="{00000000-0005-0000-0000-00004C050000}"/>
    <cellStyle name="Millares 19 2 2 5" xfId="3092" xr:uid="{00000000-0005-0000-0000-00004D050000}"/>
    <cellStyle name="Millares 19 2 3" xfId="891" xr:uid="{00000000-0005-0000-0000-00004E050000}"/>
    <cellStyle name="Millares 19 2 3 2" xfId="2474" xr:uid="{00000000-0005-0000-0000-00004F050000}"/>
    <cellStyle name="Millares 19 2 3 2 2" xfId="4056" xr:uid="{00000000-0005-0000-0000-000050050000}"/>
    <cellStyle name="Millares 19 2 3 3" xfId="1683" xr:uid="{00000000-0005-0000-0000-000051050000}"/>
    <cellStyle name="Millares 19 2 3 4" xfId="3265" xr:uid="{00000000-0005-0000-0000-000052050000}"/>
    <cellStyle name="Millares 19 2 4" xfId="2080" xr:uid="{00000000-0005-0000-0000-000053050000}"/>
    <cellStyle name="Millares 19 2 4 2" xfId="3662" xr:uid="{00000000-0005-0000-0000-000054050000}"/>
    <cellStyle name="Millares 19 2 5" xfId="1289" xr:uid="{00000000-0005-0000-0000-000055050000}"/>
    <cellStyle name="Millares 19 2 6" xfId="2871" xr:uid="{00000000-0005-0000-0000-000056050000}"/>
    <cellStyle name="Millares 19 3" xfId="561" xr:uid="{00000000-0005-0000-0000-000057050000}"/>
    <cellStyle name="Millares 19 3 2" xfId="968" xr:uid="{00000000-0005-0000-0000-000058050000}"/>
    <cellStyle name="Millares 19 3 2 2" xfId="2551" xr:uid="{00000000-0005-0000-0000-000059050000}"/>
    <cellStyle name="Millares 19 3 2 2 2" xfId="4133" xr:uid="{00000000-0005-0000-0000-00005A050000}"/>
    <cellStyle name="Millares 19 3 2 3" xfId="1760" xr:uid="{00000000-0005-0000-0000-00005B050000}"/>
    <cellStyle name="Millares 19 3 2 4" xfId="3342" xr:uid="{00000000-0005-0000-0000-00005C050000}"/>
    <cellStyle name="Millares 19 3 3" xfId="2157" xr:uid="{00000000-0005-0000-0000-00005D050000}"/>
    <cellStyle name="Millares 19 3 3 2" xfId="3739" xr:uid="{00000000-0005-0000-0000-00005E050000}"/>
    <cellStyle name="Millares 19 3 4" xfId="1366" xr:uid="{00000000-0005-0000-0000-00005F050000}"/>
    <cellStyle name="Millares 19 3 5" xfId="2948" xr:uid="{00000000-0005-0000-0000-000060050000}"/>
    <cellStyle name="Millares 19 4" xfId="636" xr:uid="{00000000-0005-0000-0000-000061050000}"/>
    <cellStyle name="Millares 19 4 2" xfId="1036" xr:uid="{00000000-0005-0000-0000-000062050000}"/>
    <cellStyle name="Millares 19 4 2 2" xfId="2619" xr:uid="{00000000-0005-0000-0000-000063050000}"/>
    <cellStyle name="Millares 19 4 2 2 2" xfId="4201" xr:uid="{00000000-0005-0000-0000-000064050000}"/>
    <cellStyle name="Millares 19 4 2 3" xfId="1828" xr:uid="{00000000-0005-0000-0000-000065050000}"/>
    <cellStyle name="Millares 19 4 2 4" xfId="3410" xr:uid="{00000000-0005-0000-0000-000066050000}"/>
    <cellStyle name="Millares 19 4 3" xfId="2225" xr:uid="{00000000-0005-0000-0000-000067050000}"/>
    <cellStyle name="Millares 19 4 3 2" xfId="3807" xr:uid="{00000000-0005-0000-0000-000068050000}"/>
    <cellStyle name="Millares 19 4 4" xfId="1434" xr:uid="{00000000-0005-0000-0000-000069050000}"/>
    <cellStyle name="Millares 19 4 5" xfId="3016" xr:uid="{00000000-0005-0000-0000-00006A050000}"/>
    <cellStyle name="Millares 19 5" xfId="815" xr:uid="{00000000-0005-0000-0000-00006B050000}"/>
    <cellStyle name="Millares 19 5 2" xfId="2398" xr:uid="{00000000-0005-0000-0000-00006C050000}"/>
    <cellStyle name="Millares 19 5 2 2" xfId="3980" xr:uid="{00000000-0005-0000-0000-00006D050000}"/>
    <cellStyle name="Millares 19 5 3" xfId="1607" xr:uid="{00000000-0005-0000-0000-00006E050000}"/>
    <cellStyle name="Millares 19 5 4" xfId="3189" xr:uid="{00000000-0005-0000-0000-00006F050000}"/>
    <cellStyle name="Millares 19 6" xfId="2004" xr:uid="{00000000-0005-0000-0000-000070050000}"/>
    <cellStyle name="Millares 19 6 2" xfId="3586" xr:uid="{00000000-0005-0000-0000-000071050000}"/>
    <cellStyle name="Millares 19 7" xfId="1213" xr:uid="{00000000-0005-0000-0000-000072050000}"/>
    <cellStyle name="Millares 19 8" xfId="2795" xr:uid="{00000000-0005-0000-0000-000073050000}"/>
    <cellStyle name="Millares 19 9" xfId="4631" xr:uid="{9E38764F-A18F-4B9D-9569-E93FDBAA03F6}"/>
    <cellStyle name="Millares 19 9 2" xfId="5007" xr:uid="{8B81E9A7-7FE2-4915-8A36-F7218D559194}"/>
    <cellStyle name="Millares 2" xfId="11" xr:uid="{00000000-0005-0000-0000-000074050000}"/>
    <cellStyle name="Millares 2 2" xfId="290" xr:uid="{00000000-0005-0000-0000-000075050000}"/>
    <cellStyle name="Millares 2 2 2" xfId="21" xr:uid="{00000000-0005-0000-0000-000076050000}"/>
    <cellStyle name="Millares 2 2 2 2" xfId="341" xr:uid="{00000000-0005-0000-0000-000077050000}"/>
    <cellStyle name="Millares 2 2 2 2 2" xfId="427" xr:uid="{00000000-0005-0000-0000-000078050000}"/>
    <cellStyle name="Millares 2 2 2 2 2 2" xfId="4464" xr:uid="{1F44A6D0-519D-4A33-BF7F-E6C5A16A4719}"/>
    <cellStyle name="Millares 2 2 2 2 2 3" xfId="4574" xr:uid="{351C7F2E-DEDE-4030-81C5-200798C08904}"/>
    <cellStyle name="Millares 2 2 2 2 2 3 2" xfId="4769" xr:uid="{0E73727A-DC4D-4652-86ED-DFAB461731CE}"/>
    <cellStyle name="Millares 2 2 2 2 2 3 2 2" xfId="5082" xr:uid="{594E832B-EFAA-45D0-91FD-5967CACAF252}"/>
    <cellStyle name="Millares 2 2 2 2 2 3 3" xfId="4876" xr:uid="{FC9FD5E4-2D4C-4867-808F-778981CA17AF}"/>
    <cellStyle name="Millares 2 2 2 2 2 3 3 2" xfId="5161" xr:uid="{2F03ADCA-6EBE-47A1-A36B-3066CC45BA70}"/>
    <cellStyle name="Millares 2 2 2 2 2 3 4" xfId="4967" xr:uid="{D2F9C919-81DB-4ADE-AB55-75CCE574816E}"/>
    <cellStyle name="Millares 2 2 2 2 2 4" xfId="4439" xr:uid="{CA2D0BA0-75C1-42C5-B468-E791D7FA5CEA}"/>
    <cellStyle name="Millares 2 2 2 2 3" xfId="4575" xr:uid="{460FCC32-07C8-4B94-B465-4ADE5780D5EB}"/>
    <cellStyle name="Millares 2 2 2 2 3 2" xfId="4770" xr:uid="{0BB32C56-A9F0-4832-8B0B-A610901FED7F}"/>
    <cellStyle name="Millares 2 2 2 2 3 2 2" xfId="5083" xr:uid="{92829E6C-7DC9-4E1F-BF4C-B1C27B3ECF43}"/>
    <cellStyle name="Millares 2 2 2 2 3 3" xfId="4877" xr:uid="{8D932BAE-4E6C-460E-BB61-31754937E8C1}"/>
    <cellStyle name="Millares 2 2 2 2 3 3 2" xfId="5162" xr:uid="{0AF007BD-3011-4BAE-AAE6-C86D82D84E38}"/>
    <cellStyle name="Millares 2 2 2 2 3 4" xfId="4968" xr:uid="{89882049-02C3-4D03-BB12-9010164E15DC}"/>
    <cellStyle name="Millares 2 2 2 2 4" xfId="4644" xr:uid="{16C1A38C-6596-41C0-9DEE-50EAD8B53C4E}"/>
    <cellStyle name="Millares 2 2 2 2 4 2" xfId="5017" xr:uid="{9DC864C1-4405-45FD-AC48-9028D176234D}"/>
    <cellStyle name="Millares 2 2 2 2 5" xfId="4410" xr:uid="{5AD825F6-DB28-4F3F-A325-55E7A84CC145}"/>
    <cellStyle name="Millares 2 2 2 3" xfId="412" xr:uid="{00000000-0005-0000-0000-000079050000}"/>
    <cellStyle name="Millares 2 2 2 3 2" xfId="4457" xr:uid="{A5DCE15D-E88D-499C-A0A7-752C449D0D78}"/>
    <cellStyle name="Millares 2 2 2 3 3" xfId="4576" xr:uid="{F0B085B3-182F-4635-B89C-52E119CC3507}"/>
    <cellStyle name="Millares 2 2 2 3 3 2" xfId="4771" xr:uid="{40FFB65F-7F90-4117-A5DA-C47D347C3560}"/>
    <cellStyle name="Millares 2 2 2 3 3 2 2" xfId="5084" xr:uid="{247F3F8D-723D-4D13-8708-0CE3FEBA1FB9}"/>
    <cellStyle name="Millares 2 2 2 3 3 3" xfId="4878" xr:uid="{E0402F2C-6883-4BC0-A2DC-D1B868C44EAB}"/>
    <cellStyle name="Millares 2 2 2 3 3 3 2" xfId="5163" xr:uid="{EA4C2258-2FA9-45CF-AA3A-09B41F535DC4}"/>
    <cellStyle name="Millares 2 2 2 3 3 4" xfId="4969" xr:uid="{BF8E54A5-BDAD-4183-85C2-EED122DC7610}"/>
    <cellStyle name="Millares 2 2 2 3 4" xfId="4428" xr:uid="{AC65F85B-3FA9-4CE6-AC5B-FD10DDA57892}"/>
    <cellStyle name="Millares 2 2 2 4" xfId="326" xr:uid="{00000000-0005-0000-0000-00007A050000}"/>
    <cellStyle name="Millares 2 2 2 4 2" xfId="4772" xr:uid="{9059C05F-6032-4FAD-8D2A-9FED1F06B4DD}"/>
    <cellStyle name="Millares 2 2 2 4 2 2" xfId="5085" xr:uid="{888BC42A-C535-4DB8-8FD7-B5BB9E66A4FB}"/>
    <cellStyle name="Millares 2 2 2 4 3" xfId="4879" xr:uid="{5D47A8E1-CBAE-4100-922C-48F895F787AB}"/>
    <cellStyle name="Millares 2 2 2 4 3 2" xfId="5164" xr:uid="{C7B165B8-BFF0-4737-8783-7C438CC8523C}"/>
    <cellStyle name="Millares 2 2 2 4 4" xfId="4577" xr:uid="{CBD73CE2-84A5-4E3F-9766-AF4950925B18}"/>
    <cellStyle name="Millares 2 2 2 4 5" xfId="4970" xr:uid="{AA0475D9-5B18-4ADA-B41F-94B40F06CCB9}"/>
    <cellStyle name="Millares 2 2 2 5" xfId="4617" xr:uid="{56187D43-2DED-4FEF-A07B-157BB7FEA778}"/>
    <cellStyle name="Millares 2 2 2 5 2" xfId="4994" xr:uid="{ED33DF47-3206-4381-85CE-48C9964B3D47}"/>
    <cellStyle name="Millares 2 2 2 6" xfId="4375" xr:uid="{00E18F92-D6DF-4EC7-90AE-EC1D54B4D2A2}"/>
    <cellStyle name="Millares 2 2 3" xfId="333" xr:uid="{00000000-0005-0000-0000-00007B050000}"/>
    <cellStyle name="Millares 2 2 3 2" xfId="419" xr:uid="{00000000-0005-0000-0000-00007C050000}"/>
    <cellStyle name="Millares 2 2 3 2 2" xfId="4463" xr:uid="{DB6F8A87-4D6D-4301-84C7-EA4F87DE9253}"/>
    <cellStyle name="Millares 2 2 3 2 3" xfId="4578" xr:uid="{81328921-DA1A-4BF9-8C25-FAA3858CC114}"/>
    <cellStyle name="Millares 2 2 3 2 3 2" xfId="4773" xr:uid="{2FD1BE34-85BD-41AB-B1E8-5CEAC161E4A6}"/>
    <cellStyle name="Millares 2 2 3 2 3 2 2" xfId="5086" xr:uid="{AD11BFF7-7B38-4358-8906-005C9DC1C771}"/>
    <cellStyle name="Millares 2 2 3 2 3 3" xfId="4880" xr:uid="{4440DAE4-53F1-4E1C-97CB-6DBA76A22A38}"/>
    <cellStyle name="Millares 2 2 3 2 3 3 2" xfId="5165" xr:uid="{4A17680E-629F-443A-9428-18FD05B83EB6}"/>
    <cellStyle name="Millares 2 2 3 2 3 4" xfId="4971" xr:uid="{D8873867-5B19-4896-927C-3954CA0393D0}"/>
    <cellStyle name="Millares 2 2 3 2 4" xfId="4438" xr:uid="{70AF64AB-003E-45F7-B848-F89401A9990C}"/>
    <cellStyle name="Millares 2 2 3 3" xfId="4579" xr:uid="{DCB0EE51-A3E7-46AE-81A3-6BEC5450CD0F}"/>
    <cellStyle name="Millares 2 2 3 3 2" xfId="4774" xr:uid="{39552D60-2D26-4366-92CF-0E224895A424}"/>
    <cellStyle name="Millares 2 2 3 3 2 2" xfId="5087" xr:uid="{9C3BD0BA-EE46-4CB4-8549-ED866DA50310}"/>
    <cellStyle name="Millares 2 2 3 3 3" xfId="4881" xr:uid="{53D76E0A-495F-4A02-B8F0-BE12654FF525}"/>
    <cellStyle name="Millares 2 2 3 3 3 2" xfId="5166" xr:uid="{87732B9B-F79B-40BC-826F-292E9E695B45}"/>
    <cellStyle name="Millares 2 2 3 3 4" xfId="4972" xr:uid="{8341D5EB-00E4-4F0A-8C1A-666389513E4B}"/>
    <cellStyle name="Millares 2 2 3 4" xfId="4643" xr:uid="{215E6BE8-0D54-4CD4-8D8C-7A363448B0AB}"/>
    <cellStyle name="Millares 2 2 3 4 2" xfId="5016" xr:uid="{5DD25CCA-A3A9-4A3C-9C96-2997EE504062}"/>
    <cellStyle name="Millares 2 2 3 5" xfId="4409" xr:uid="{FF59FC64-26F0-4839-B252-52C476064D23}"/>
    <cellStyle name="Millares 2 2 4" xfId="404" xr:uid="{00000000-0005-0000-0000-00007D050000}"/>
    <cellStyle name="Millares 2 2 4 2" xfId="4456" xr:uid="{C26C2CDB-F59D-4001-A634-D51B4FB11D58}"/>
    <cellStyle name="Millares 2 2 4 3" xfId="4580" xr:uid="{17A42C24-D227-4355-B32B-311432C677AD}"/>
    <cellStyle name="Millares 2 2 4 3 2" xfId="4775" xr:uid="{3CFB9C43-BCF9-4D79-BEE7-169B11E10CE8}"/>
    <cellStyle name="Millares 2 2 4 3 2 2" xfId="5088" xr:uid="{E326ACE9-5E4A-4653-97EA-A264CD78DA38}"/>
    <cellStyle name="Millares 2 2 4 3 3" xfId="4882" xr:uid="{5D7D1F68-016D-4EEE-92DA-ACF3BD506B28}"/>
    <cellStyle name="Millares 2 2 4 3 3 2" xfId="5167" xr:uid="{CBB4AC61-D5AE-4F9D-83D5-B27BD30B3701}"/>
    <cellStyle name="Millares 2 2 4 3 4" xfId="4973" xr:uid="{EB033503-A7FD-466D-8B12-315E910ECB28}"/>
    <cellStyle name="Millares 2 2 4 4" xfId="4427" xr:uid="{6F403AA8-CB90-4C5E-AFD6-9FD551188D6B}"/>
    <cellStyle name="Millares 2 2 5" xfId="4581" xr:uid="{F7201D96-81B6-49A1-BAF9-CA91E73E2233}"/>
    <cellStyle name="Millares 2 2 5 2" xfId="4776" xr:uid="{6275279B-E025-4805-A1D2-C39FBB0F7A93}"/>
    <cellStyle name="Millares 2 2 5 2 2" xfId="5089" xr:uid="{3E4615DF-7146-41E8-8B61-4D612C2EC357}"/>
    <cellStyle name="Millares 2 2 5 3" xfId="4883" xr:uid="{F30C3798-794B-4EFA-B447-E4EFCB79C17F}"/>
    <cellStyle name="Millares 2 2 5 3 2" xfId="5168" xr:uid="{6D7500B7-E45E-497B-BC58-CB80E184BBA9}"/>
    <cellStyle name="Millares 2 2 5 4" xfId="4974" xr:uid="{A0B44686-309F-442A-969A-61C2C74AA711}"/>
    <cellStyle name="Millares 2 2 6" xfId="4616" xr:uid="{A01D1F75-D952-4A6E-819F-1F3E6AF1DC4F}"/>
    <cellStyle name="Millares 2 2 6 2" xfId="4993" xr:uid="{F983F35D-738C-43AC-9865-686D5D8A1D38}"/>
    <cellStyle name="Millares 2 2 7" xfId="4373" xr:uid="{C3511F3E-BB4A-421B-A1EF-A9969D4C00FC}"/>
    <cellStyle name="Millares 2 3" xfId="298" xr:uid="{00000000-0005-0000-0000-00007E050000}"/>
    <cellStyle name="Millares 2 3 10" xfId="781" xr:uid="{00000000-0005-0000-0000-00007F050000}"/>
    <cellStyle name="Millares 2 3 10 2" xfId="2364" xr:uid="{00000000-0005-0000-0000-000080050000}"/>
    <cellStyle name="Millares 2 3 10 2 2" xfId="3946" xr:uid="{00000000-0005-0000-0000-000081050000}"/>
    <cellStyle name="Millares 2 3 10 3" xfId="1573" xr:uid="{00000000-0005-0000-0000-000082050000}"/>
    <cellStyle name="Millares 2 3 10 4" xfId="3155" xr:uid="{00000000-0005-0000-0000-000083050000}"/>
    <cellStyle name="Millares 2 3 11" xfId="1970" xr:uid="{00000000-0005-0000-0000-000084050000}"/>
    <cellStyle name="Millares 2 3 11 2" xfId="3552" xr:uid="{00000000-0005-0000-0000-000085050000}"/>
    <cellStyle name="Millares 2 3 12" xfId="1179" xr:uid="{00000000-0005-0000-0000-000086050000}"/>
    <cellStyle name="Millares 2 3 13" xfId="2761" xr:uid="{00000000-0005-0000-0000-000087050000}"/>
    <cellStyle name="Millares 2 3 14" xfId="4582" xr:uid="{C5A6C24F-2911-45C4-8E1B-6BBC2DBC907F}"/>
    <cellStyle name="Millares 2 3 15" xfId="4619" xr:uid="{3451EF76-2C4D-4F44-89F1-23993F626BEB}"/>
    <cellStyle name="Millares 2 3 15 2" xfId="4996" xr:uid="{84947133-5C54-4431-A59E-7822B3E21247}"/>
    <cellStyle name="Millares 2 3 16" xfId="4380" xr:uid="{8DAFA3E0-D535-4A13-B272-92144459D750}"/>
    <cellStyle name="Millares 2 3 2" xfId="317" xr:uid="{00000000-0005-0000-0000-000088050000}"/>
    <cellStyle name="Millares 2 3 2 10" xfId="1983" xr:uid="{00000000-0005-0000-0000-000089050000}"/>
    <cellStyle name="Millares 2 3 2 10 2" xfId="3565" xr:uid="{00000000-0005-0000-0000-00008A050000}"/>
    <cellStyle name="Millares 2 3 2 11" xfId="1192" xr:uid="{00000000-0005-0000-0000-00008B050000}"/>
    <cellStyle name="Millares 2 3 2 12" xfId="2774" xr:uid="{00000000-0005-0000-0000-00008C050000}"/>
    <cellStyle name="Millares 2 3 2 13" xfId="4583" xr:uid="{4FF6DF94-5B1C-47E1-AF9A-14BD4C25C42A}"/>
    <cellStyle name="Millares 2 3 2 14" xfId="4647" xr:uid="{C81701F2-D289-42D0-B104-BD89E3ACADF3}"/>
    <cellStyle name="Millares 2 3 2 14 2" xfId="5020" xr:uid="{192A64DB-E490-4525-940B-41C96882A732}"/>
    <cellStyle name="Millares 2 3 2 15" xfId="4414" xr:uid="{E2D82327-5107-4461-8466-B9E12A83D6EF}"/>
    <cellStyle name="Millares 2 3 2 2" xfId="340" xr:uid="{00000000-0005-0000-0000-00008D050000}"/>
    <cellStyle name="Millares 2 3 2 2 2" xfId="4465" xr:uid="{9D7AFA2B-329F-4AC3-84ED-2BDEBFE2F7EC}"/>
    <cellStyle name="Millares 2 3 2 2 3" xfId="4584" xr:uid="{47B046DB-AD89-4078-AC91-7316560D5473}"/>
    <cellStyle name="Millares 2 3 2 2 3 2" xfId="4777" xr:uid="{001DE465-5AB2-4ECD-8135-2A60AE9FE485}"/>
    <cellStyle name="Millares 2 3 2 2 3 2 2" xfId="5090" xr:uid="{E442F0E9-C153-48C2-B350-67E0A9689B5C}"/>
    <cellStyle name="Millares 2 3 2 2 3 3" xfId="4884" xr:uid="{1C759ABF-F63E-404D-93F2-6DED617C680D}"/>
    <cellStyle name="Millares 2 3 2 2 3 3 2" xfId="5169" xr:uid="{6A364520-27F4-44A7-8E1F-3F2BA1ABA3BA}"/>
    <cellStyle name="Millares 2 3 2 2 3 4" xfId="4975" xr:uid="{8F9EAB87-3869-49BB-A0B5-2EEDC0F5AC1A}"/>
    <cellStyle name="Millares 2 3 2 2 4" xfId="4440" xr:uid="{12ACFB2E-514F-4A21-AAB9-F1CABDEA8EAC}"/>
    <cellStyle name="Millares 2 3 2 3" xfId="426" xr:uid="{00000000-0005-0000-0000-00008E050000}"/>
    <cellStyle name="Millares 2 3 2 3 2" xfId="4778" xr:uid="{F70EBC9D-8D48-40C4-BE28-E6867EA8BEA0}"/>
    <cellStyle name="Millares 2 3 2 3 2 2" xfId="5091" xr:uid="{25284AB6-619B-4A0B-BD02-FA9EEAEE48F7}"/>
    <cellStyle name="Millares 2 3 2 3 3" xfId="4885" xr:uid="{A993BE88-232B-4885-B265-90FC96BA5C87}"/>
    <cellStyle name="Millares 2 3 2 3 3 2" xfId="5170" xr:uid="{4B7681BE-2203-428E-AEE2-6FB3865AA8AE}"/>
    <cellStyle name="Millares 2 3 2 3 4" xfId="4585" xr:uid="{1BC491F3-046B-49A9-8F9A-A106F19408AF}"/>
    <cellStyle name="Millares 2 3 2 3 5" xfId="4976" xr:uid="{2C720C21-B425-431D-9FF2-410B71E89DF4}"/>
    <cellStyle name="Millares 2 3 2 4" xfId="395" xr:uid="{00000000-0005-0000-0000-00008F050000}"/>
    <cellStyle name="Millares 2 3 2 4 2" xfId="504" xr:uid="{00000000-0005-0000-0000-000090050000}"/>
    <cellStyle name="Millares 2 3 2 4 2 2" xfId="732" xr:uid="{00000000-0005-0000-0000-000091050000}"/>
    <cellStyle name="Millares 2 3 2 4 2 2 2" xfId="1132" xr:uid="{00000000-0005-0000-0000-000092050000}"/>
    <cellStyle name="Millares 2 3 2 4 2 2 2 2" xfId="2715" xr:uid="{00000000-0005-0000-0000-000093050000}"/>
    <cellStyle name="Millares 2 3 2 4 2 2 2 2 2" xfId="4297" xr:uid="{00000000-0005-0000-0000-000094050000}"/>
    <cellStyle name="Millares 2 3 2 4 2 2 2 3" xfId="1924" xr:uid="{00000000-0005-0000-0000-000095050000}"/>
    <cellStyle name="Millares 2 3 2 4 2 2 2 4" xfId="3506" xr:uid="{00000000-0005-0000-0000-000096050000}"/>
    <cellStyle name="Millares 2 3 2 4 2 2 3" xfId="2321" xr:uid="{00000000-0005-0000-0000-000097050000}"/>
    <cellStyle name="Millares 2 3 2 4 2 2 3 2" xfId="3903" xr:uid="{00000000-0005-0000-0000-000098050000}"/>
    <cellStyle name="Millares 2 3 2 4 2 2 4" xfId="1530" xr:uid="{00000000-0005-0000-0000-000099050000}"/>
    <cellStyle name="Millares 2 3 2 4 2 2 5" xfId="3112" xr:uid="{00000000-0005-0000-0000-00009A050000}"/>
    <cellStyle name="Millares 2 3 2 4 2 3" xfId="911" xr:uid="{00000000-0005-0000-0000-00009B050000}"/>
    <cellStyle name="Millares 2 3 2 4 2 3 2" xfId="2494" xr:uid="{00000000-0005-0000-0000-00009C050000}"/>
    <cellStyle name="Millares 2 3 2 4 2 3 2 2" xfId="4076" xr:uid="{00000000-0005-0000-0000-00009D050000}"/>
    <cellStyle name="Millares 2 3 2 4 2 3 3" xfId="1703" xr:uid="{00000000-0005-0000-0000-00009E050000}"/>
    <cellStyle name="Millares 2 3 2 4 2 3 4" xfId="3285" xr:uid="{00000000-0005-0000-0000-00009F050000}"/>
    <cellStyle name="Millares 2 3 2 4 2 4" xfId="2100" xr:uid="{00000000-0005-0000-0000-0000A0050000}"/>
    <cellStyle name="Millares 2 3 2 4 2 4 2" xfId="3682" xr:uid="{00000000-0005-0000-0000-0000A1050000}"/>
    <cellStyle name="Millares 2 3 2 4 2 5" xfId="1309" xr:uid="{00000000-0005-0000-0000-0000A2050000}"/>
    <cellStyle name="Millares 2 3 2 4 2 6" xfId="2891" xr:uid="{00000000-0005-0000-0000-0000A3050000}"/>
    <cellStyle name="Millares 2 3 2 4 3" xfId="581" xr:uid="{00000000-0005-0000-0000-0000A4050000}"/>
    <cellStyle name="Millares 2 3 2 4 3 2" xfId="988" xr:uid="{00000000-0005-0000-0000-0000A5050000}"/>
    <cellStyle name="Millares 2 3 2 4 3 2 2" xfId="2571" xr:uid="{00000000-0005-0000-0000-0000A6050000}"/>
    <cellStyle name="Millares 2 3 2 4 3 2 2 2" xfId="4153" xr:uid="{00000000-0005-0000-0000-0000A7050000}"/>
    <cellStyle name="Millares 2 3 2 4 3 2 3" xfId="1780" xr:uid="{00000000-0005-0000-0000-0000A8050000}"/>
    <cellStyle name="Millares 2 3 2 4 3 2 4" xfId="3362" xr:uid="{00000000-0005-0000-0000-0000A9050000}"/>
    <cellStyle name="Millares 2 3 2 4 3 3" xfId="2177" xr:uid="{00000000-0005-0000-0000-0000AA050000}"/>
    <cellStyle name="Millares 2 3 2 4 3 3 2" xfId="3759" xr:uid="{00000000-0005-0000-0000-0000AB050000}"/>
    <cellStyle name="Millares 2 3 2 4 3 4" xfId="1386" xr:uid="{00000000-0005-0000-0000-0000AC050000}"/>
    <cellStyle name="Millares 2 3 2 4 3 5" xfId="2968" xr:uid="{00000000-0005-0000-0000-0000AD050000}"/>
    <cellStyle name="Millares 2 3 2 4 4" xfId="656" xr:uid="{00000000-0005-0000-0000-0000AE050000}"/>
    <cellStyle name="Millares 2 3 2 4 4 2" xfId="1056" xr:uid="{00000000-0005-0000-0000-0000AF050000}"/>
    <cellStyle name="Millares 2 3 2 4 4 2 2" xfId="2639" xr:uid="{00000000-0005-0000-0000-0000B0050000}"/>
    <cellStyle name="Millares 2 3 2 4 4 2 2 2" xfId="4221" xr:uid="{00000000-0005-0000-0000-0000B1050000}"/>
    <cellStyle name="Millares 2 3 2 4 4 2 3" xfId="1848" xr:uid="{00000000-0005-0000-0000-0000B2050000}"/>
    <cellStyle name="Millares 2 3 2 4 4 2 4" xfId="3430" xr:uid="{00000000-0005-0000-0000-0000B3050000}"/>
    <cellStyle name="Millares 2 3 2 4 4 3" xfId="2245" xr:uid="{00000000-0005-0000-0000-0000B4050000}"/>
    <cellStyle name="Millares 2 3 2 4 4 3 2" xfId="3827" xr:uid="{00000000-0005-0000-0000-0000B5050000}"/>
    <cellStyle name="Millares 2 3 2 4 4 4" xfId="1454" xr:uid="{00000000-0005-0000-0000-0000B6050000}"/>
    <cellStyle name="Millares 2 3 2 4 4 5" xfId="3036" xr:uid="{00000000-0005-0000-0000-0000B7050000}"/>
    <cellStyle name="Millares 2 3 2 4 5" xfId="835" xr:uid="{00000000-0005-0000-0000-0000B8050000}"/>
    <cellStyle name="Millares 2 3 2 4 5 2" xfId="2418" xr:uid="{00000000-0005-0000-0000-0000B9050000}"/>
    <cellStyle name="Millares 2 3 2 4 5 2 2" xfId="4000" xr:uid="{00000000-0005-0000-0000-0000BA050000}"/>
    <cellStyle name="Millares 2 3 2 4 5 3" xfId="1627" xr:uid="{00000000-0005-0000-0000-0000BB050000}"/>
    <cellStyle name="Millares 2 3 2 4 5 4" xfId="3209" xr:uid="{00000000-0005-0000-0000-0000BC050000}"/>
    <cellStyle name="Millares 2 3 2 4 6" xfId="2024" xr:uid="{00000000-0005-0000-0000-0000BD050000}"/>
    <cellStyle name="Millares 2 3 2 4 6 2" xfId="3606" xr:uid="{00000000-0005-0000-0000-0000BE050000}"/>
    <cellStyle name="Millares 2 3 2 4 7" xfId="1233" xr:uid="{00000000-0005-0000-0000-0000BF050000}"/>
    <cellStyle name="Millares 2 3 2 4 8" xfId="2815" xr:uid="{00000000-0005-0000-0000-0000C0050000}"/>
    <cellStyle name="Millares 2 3 2 5" xfId="463" xr:uid="{00000000-0005-0000-0000-0000C1050000}"/>
    <cellStyle name="Millares 2 3 2 5 2" xfId="691" xr:uid="{00000000-0005-0000-0000-0000C2050000}"/>
    <cellStyle name="Millares 2 3 2 5 2 2" xfId="1091" xr:uid="{00000000-0005-0000-0000-0000C3050000}"/>
    <cellStyle name="Millares 2 3 2 5 2 2 2" xfId="2674" xr:uid="{00000000-0005-0000-0000-0000C4050000}"/>
    <cellStyle name="Millares 2 3 2 5 2 2 2 2" xfId="4256" xr:uid="{00000000-0005-0000-0000-0000C5050000}"/>
    <cellStyle name="Millares 2 3 2 5 2 2 3" xfId="1883" xr:uid="{00000000-0005-0000-0000-0000C6050000}"/>
    <cellStyle name="Millares 2 3 2 5 2 2 4" xfId="3465" xr:uid="{00000000-0005-0000-0000-0000C7050000}"/>
    <cellStyle name="Millares 2 3 2 5 2 3" xfId="2280" xr:uid="{00000000-0005-0000-0000-0000C8050000}"/>
    <cellStyle name="Millares 2 3 2 5 2 3 2" xfId="3862" xr:uid="{00000000-0005-0000-0000-0000C9050000}"/>
    <cellStyle name="Millares 2 3 2 5 2 4" xfId="1489" xr:uid="{00000000-0005-0000-0000-0000CA050000}"/>
    <cellStyle name="Millares 2 3 2 5 2 5" xfId="3071" xr:uid="{00000000-0005-0000-0000-0000CB050000}"/>
    <cellStyle name="Millares 2 3 2 5 3" xfId="870" xr:uid="{00000000-0005-0000-0000-0000CC050000}"/>
    <cellStyle name="Millares 2 3 2 5 3 2" xfId="2453" xr:uid="{00000000-0005-0000-0000-0000CD050000}"/>
    <cellStyle name="Millares 2 3 2 5 3 2 2" xfId="4035" xr:uid="{00000000-0005-0000-0000-0000CE050000}"/>
    <cellStyle name="Millares 2 3 2 5 3 3" xfId="1662" xr:uid="{00000000-0005-0000-0000-0000CF050000}"/>
    <cellStyle name="Millares 2 3 2 5 3 4" xfId="3244" xr:uid="{00000000-0005-0000-0000-0000D0050000}"/>
    <cellStyle name="Millares 2 3 2 5 4" xfId="2059" xr:uid="{00000000-0005-0000-0000-0000D1050000}"/>
    <cellStyle name="Millares 2 3 2 5 4 2" xfId="3641" xr:uid="{00000000-0005-0000-0000-0000D2050000}"/>
    <cellStyle name="Millares 2 3 2 5 5" xfId="1268" xr:uid="{00000000-0005-0000-0000-0000D3050000}"/>
    <cellStyle name="Millares 2 3 2 5 6" xfId="2850" xr:uid="{00000000-0005-0000-0000-0000D4050000}"/>
    <cellStyle name="Millares 2 3 2 6" xfId="540" xr:uid="{00000000-0005-0000-0000-0000D5050000}"/>
    <cellStyle name="Millares 2 3 2 6 2" xfId="947" xr:uid="{00000000-0005-0000-0000-0000D6050000}"/>
    <cellStyle name="Millares 2 3 2 6 2 2" xfId="2530" xr:uid="{00000000-0005-0000-0000-0000D7050000}"/>
    <cellStyle name="Millares 2 3 2 6 2 2 2" xfId="4112" xr:uid="{00000000-0005-0000-0000-0000D8050000}"/>
    <cellStyle name="Millares 2 3 2 6 2 3" xfId="1739" xr:uid="{00000000-0005-0000-0000-0000D9050000}"/>
    <cellStyle name="Millares 2 3 2 6 2 4" xfId="3321" xr:uid="{00000000-0005-0000-0000-0000DA050000}"/>
    <cellStyle name="Millares 2 3 2 6 3" xfId="2136" xr:uid="{00000000-0005-0000-0000-0000DB050000}"/>
    <cellStyle name="Millares 2 3 2 6 3 2" xfId="3718" xr:uid="{00000000-0005-0000-0000-0000DC050000}"/>
    <cellStyle name="Millares 2 3 2 6 4" xfId="1345" xr:uid="{00000000-0005-0000-0000-0000DD050000}"/>
    <cellStyle name="Millares 2 3 2 6 5" xfId="2927" xr:uid="{00000000-0005-0000-0000-0000DE050000}"/>
    <cellStyle name="Millares 2 3 2 7" xfId="615" xr:uid="{00000000-0005-0000-0000-0000DF050000}"/>
    <cellStyle name="Millares 2 3 2 7 2" xfId="1015" xr:uid="{00000000-0005-0000-0000-0000E0050000}"/>
    <cellStyle name="Millares 2 3 2 7 2 2" xfId="2598" xr:uid="{00000000-0005-0000-0000-0000E1050000}"/>
    <cellStyle name="Millares 2 3 2 7 2 2 2" xfId="4180" xr:uid="{00000000-0005-0000-0000-0000E2050000}"/>
    <cellStyle name="Millares 2 3 2 7 2 3" xfId="1807" xr:uid="{00000000-0005-0000-0000-0000E3050000}"/>
    <cellStyle name="Millares 2 3 2 7 2 4" xfId="3389" xr:uid="{00000000-0005-0000-0000-0000E4050000}"/>
    <cellStyle name="Millares 2 3 2 7 3" xfId="2204" xr:uid="{00000000-0005-0000-0000-0000E5050000}"/>
    <cellStyle name="Millares 2 3 2 7 3 2" xfId="3786" xr:uid="{00000000-0005-0000-0000-0000E6050000}"/>
    <cellStyle name="Millares 2 3 2 7 4" xfId="1413" xr:uid="{00000000-0005-0000-0000-0000E7050000}"/>
    <cellStyle name="Millares 2 3 2 7 5" xfId="2995" xr:uid="{00000000-0005-0000-0000-0000E8050000}"/>
    <cellStyle name="Millares 2 3 2 8" xfId="767" xr:uid="{00000000-0005-0000-0000-0000E9050000}"/>
    <cellStyle name="Millares 2 3 2 8 2" xfId="1167" xr:uid="{00000000-0005-0000-0000-0000EA050000}"/>
    <cellStyle name="Millares 2 3 2 8 2 2" xfId="2750" xr:uid="{00000000-0005-0000-0000-0000EB050000}"/>
    <cellStyle name="Millares 2 3 2 8 2 2 2" xfId="4332" xr:uid="{00000000-0005-0000-0000-0000EC050000}"/>
    <cellStyle name="Millares 2 3 2 8 2 3" xfId="1959" xr:uid="{00000000-0005-0000-0000-0000ED050000}"/>
    <cellStyle name="Millares 2 3 2 8 2 4" xfId="3541" xr:uid="{00000000-0005-0000-0000-0000EE050000}"/>
    <cellStyle name="Millares 2 3 2 8 3" xfId="2356" xr:uid="{00000000-0005-0000-0000-0000EF050000}"/>
    <cellStyle name="Millares 2 3 2 8 3 2" xfId="3938" xr:uid="{00000000-0005-0000-0000-0000F0050000}"/>
    <cellStyle name="Millares 2 3 2 8 4" xfId="1565" xr:uid="{00000000-0005-0000-0000-0000F1050000}"/>
    <cellStyle name="Millares 2 3 2 8 5" xfId="3147" xr:uid="{00000000-0005-0000-0000-0000F2050000}"/>
    <cellStyle name="Millares 2 3 2 9" xfId="794" xr:uid="{00000000-0005-0000-0000-0000F3050000}"/>
    <cellStyle name="Millares 2 3 2 9 2" xfId="2377" xr:uid="{00000000-0005-0000-0000-0000F4050000}"/>
    <cellStyle name="Millares 2 3 2 9 2 2" xfId="3959" xr:uid="{00000000-0005-0000-0000-0000F5050000}"/>
    <cellStyle name="Millares 2 3 2 9 3" xfId="1586" xr:uid="{00000000-0005-0000-0000-0000F6050000}"/>
    <cellStyle name="Millares 2 3 2 9 4" xfId="3168" xr:uid="{00000000-0005-0000-0000-0000F7050000}"/>
    <cellStyle name="Millares 2 3 3" xfId="325" xr:uid="{00000000-0005-0000-0000-0000F8050000}"/>
    <cellStyle name="Millares 2 3 3 2" xfId="4458" xr:uid="{9826CEAC-FFA9-43D9-955E-10FAB67E0D79}"/>
    <cellStyle name="Millares 2 3 3 3" xfId="4586" xr:uid="{7D50D22D-17B9-482A-8390-25FDDBB2277B}"/>
    <cellStyle name="Millares 2 3 3 3 2" xfId="4779" xr:uid="{C2B89B7D-8167-4270-9EF3-156F8CDE3F1E}"/>
    <cellStyle name="Millares 2 3 3 3 2 2" xfId="5092" xr:uid="{D3C5ECB4-AC00-400F-8B53-0FD83D9BEF2F}"/>
    <cellStyle name="Millares 2 3 3 3 3" xfId="4886" xr:uid="{CE2A1346-B847-427F-B6A0-4D0B8C9155BA}"/>
    <cellStyle name="Millares 2 3 3 3 3 2" xfId="5171" xr:uid="{3782EC6B-47B9-4A4F-A230-B7C84DFAA976}"/>
    <cellStyle name="Millares 2 3 3 3 4" xfId="4977" xr:uid="{6A87D908-AE9B-4A9D-9C04-A0916668BDCE}"/>
    <cellStyle name="Millares 2 3 3 4" xfId="4429" xr:uid="{9BF03188-5971-4637-AF94-4DF4D1953AB2}"/>
    <cellStyle name="Millares 2 3 4" xfId="411" xr:uid="{00000000-0005-0000-0000-0000F9050000}"/>
    <cellStyle name="Millares 2 3 4 2" xfId="4780" xr:uid="{5D03AC4E-86B1-4458-823F-32B5A4E7D100}"/>
    <cellStyle name="Millares 2 3 4 2 2" xfId="5093" xr:uid="{83AB1DBB-ED84-41F2-B8BB-A4A397D98B8B}"/>
    <cellStyle name="Millares 2 3 4 3" xfId="4887" xr:uid="{0BFB6A94-6952-4E19-A609-8EA05966D580}"/>
    <cellStyle name="Millares 2 3 4 3 2" xfId="5172" xr:uid="{E3452A4E-714F-4B10-AC32-6C1ECCD346D3}"/>
    <cellStyle name="Millares 2 3 4 4" xfId="4587" xr:uid="{42F955C4-85CD-43D3-A788-B65D2D173B1D}"/>
    <cellStyle name="Millares 2 3 4 5" xfId="4978" xr:uid="{014919BB-4318-46DF-9AC4-70A6EC26E742}"/>
    <cellStyle name="Millares 2 3 5" xfId="376" xr:uid="{00000000-0005-0000-0000-0000FA050000}"/>
    <cellStyle name="Millares 2 3 5 2" xfId="491" xr:uid="{00000000-0005-0000-0000-0000FB050000}"/>
    <cellStyle name="Millares 2 3 5 2 2" xfId="719" xr:uid="{00000000-0005-0000-0000-0000FC050000}"/>
    <cellStyle name="Millares 2 3 5 2 2 2" xfId="1119" xr:uid="{00000000-0005-0000-0000-0000FD050000}"/>
    <cellStyle name="Millares 2 3 5 2 2 2 2" xfId="2702" xr:uid="{00000000-0005-0000-0000-0000FE050000}"/>
    <cellStyle name="Millares 2 3 5 2 2 2 2 2" xfId="4284" xr:uid="{00000000-0005-0000-0000-0000FF050000}"/>
    <cellStyle name="Millares 2 3 5 2 2 2 3" xfId="1911" xr:uid="{00000000-0005-0000-0000-000000060000}"/>
    <cellStyle name="Millares 2 3 5 2 2 2 4" xfId="3493" xr:uid="{00000000-0005-0000-0000-000001060000}"/>
    <cellStyle name="Millares 2 3 5 2 2 3" xfId="2308" xr:uid="{00000000-0005-0000-0000-000002060000}"/>
    <cellStyle name="Millares 2 3 5 2 2 3 2" xfId="3890" xr:uid="{00000000-0005-0000-0000-000003060000}"/>
    <cellStyle name="Millares 2 3 5 2 2 4" xfId="1517" xr:uid="{00000000-0005-0000-0000-000004060000}"/>
    <cellStyle name="Millares 2 3 5 2 2 5" xfId="3099" xr:uid="{00000000-0005-0000-0000-000005060000}"/>
    <cellStyle name="Millares 2 3 5 2 3" xfId="898" xr:uid="{00000000-0005-0000-0000-000006060000}"/>
    <cellStyle name="Millares 2 3 5 2 3 2" xfId="2481" xr:uid="{00000000-0005-0000-0000-000007060000}"/>
    <cellStyle name="Millares 2 3 5 2 3 2 2" xfId="4063" xr:uid="{00000000-0005-0000-0000-000008060000}"/>
    <cellStyle name="Millares 2 3 5 2 3 3" xfId="1690" xr:uid="{00000000-0005-0000-0000-000009060000}"/>
    <cellStyle name="Millares 2 3 5 2 3 4" xfId="3272" xr:uid="{00000000-0005-0000-0000-00000A060000}"/>
    <cellStyle name="Millares 2 3 5 2 4" xfId="2087" xr:uid="{00000000-0005-0000-0000-00000B060000}"/>
    <cellStyle name="Millares 2 3 5 2 4 2" xfId="3669" xr:uid="{00000000-0005-0000-0000-00000C060000}"/>
    <cellStyle name="Millares 2 3 5 2 5" xfId="1296" xr:uid="{00000000-0005-0000-0000-00000D060000}"/>
    <cellStyle name="Millares 2 3 5 2 6" xfId="2878" xr:uid="{00000000-0005-0000-0000-00000E060000}"/>
    <cellStyle name="Millares 2 3 5 3" xfId="568" xr:uid="{00000000-0005-0000-0000-00000F060000}"/>
    <cellStyle name="Millares 2 3 5 3 2" xfId="975" xr:uid="{00000000-0005-0000-0000-000010060000}"/>
    <cellStyle name="Millares 2 3 5 3 2 2" xfId="2558" xr:uid="{00000000-0005-0000-0000-000011060000}"/>
    <cellStyle name="Millares 2 3 5 3 2 2 2" xfId="4140" xr:uid="{00000000-0005-0000-0000-000012060000}"/>
    <cellStyle name="Millares 2 3 5 3 2 3" xfId="1767" xr:uid="{00000000-0005-0000-0000-000013060000}"/>
    <cellStyle name="Millares 2 3 5 3 2 4" xfId="3349" xr:uid="{00000000-0005-0000-0000-000014060000}"/>
    <cellStyle name="Millares 2 3 5 3 3" xfId="2164" xr:uid="{00000000-0005-0000-0000-000015060000}"/>
    <cellStyle name="Millares 2 3 5 3 3 2" xfId="3746" xr:uid="{00000000-0005-0000-0000-000016060000}"/>
    <cellStyle name="Millares 2 3 5 3 4" xfId="1373" xr:uid="{00000000-0005-0000-0000-000017060000}"/>
    <cellStyle name="Millares 2 3 5 3 5" xfId="2955" xr:uid="{00000000-0005-0000-0000-000018060000}"/>
    <cellStyle name="Millares 2 3 5 4" xfId="643" xr:uid="{00000000-0005-0000-0000-000019060000}"/>
    <cellStyle name="Millares 2 3 5 4 2" xfId="1043" xr:uid="{00000000-0005-0000-0000-00001A060000}"/>
    <cellStyle name="Millares 2 3 5 4 2 2" xfId="2626" xr:uid="{00000000-0005-0000-0000-00001B060000}"/>
    <cellStyle name="Millares 2 3 5 4 2 2 2" xfId="4208" xr:uid="{00000000-0005-0000-0000-00001C060000}"/>
    <cellStyle name="Millares 2 3 5 4 2 3" xfId="1835" xr:uid="{00000000-0005-0000-0000-00001D060000}"/>
    <cellStyle name="Millares 2 3 5 4 2 4" xfId="3417" xr:uid="{00000000-0005-0000-0000-00001E060000}"/>
    <cellStyle name="Millares 2 3 5 4 3" xfId="2232" xr:uid="{00000000-0005-0000-0000-00001F060000}"/>
    <cellStyle name="Millares 2 3 5 4 3 2" xfId="3814" xr:uid="{00000000-0005-0000-0000-000020060000}"/>
    <cellStyle name="Millares 2 3 5 4 4" xfId="1441" xr:uid="{00000000-0005-0000-0000-000021060000}"/>
    <cellStyle name="Millares 2 3 5 4 5" xfId="3023" xr:uid="{00000000-0005-0000-0000-000022060000}"/>
    <cellStyle name="Millares 2 3 5 5" xfId="822" xr:uid="{00000000-0005-0000-0000-000023060000}"/>
    <cellStyle name="Millares 2 3 5 5 2" xfId="2405" xr:uid="{00000000-0005-0000-0000-000024060000}"/>
    <cellStyle name="Millares 2 3 5 5 2 2" xfId="3987" xr:uid="{00000000-0005-0000-0000-000025060000}"/>
    <cellStyle name="Millares 2 3 5 5 3" xfId="1614" xr:uid="{00000000-0005-0000-0000-000026060000}"/>
    <cellStyle name="Millares 2 3 5 5 4" xfId="3196" xr:uid="{00000000-0005-0000-0000-000027060000}"/>
    <cellStyle name="Millares 2 3 5 6" xfId="2011" xr:uid="{00000000-0005-0000-0000-000028060000}"/>
    <cellStyle name="Millares 2 3 5 6 2" xfId="3593" xr:uid="{00000000-0005-0000-0000-000029060000}"/>
    <cellStyle name="Millares 2 3 5 7" xfId="1220" xr:uid="{00000000-0005-0000-0000-00002A060000}"/>
    <cellStyle name="Millares 2 3 5 8" xfId="2802" xr:uid="{00000000-0005-0000-0000-00002B060000}"/>
    <cellStyle name="Millares 2 3 6" xfId="450" xr:uid="{00000000-0005-0000-0000-00002C060000}"/>
    <cellStyle name="Millares 2 3 6 2" xfId="678" xr:uid="{00000000-0005-0000-0000-00002D060000}"/>
    <cellStyle name="Millares 2 3 6 2 2" xfId="1078" xr:uid="{00000000-0005-0000-0000-00002E060000}"/>
    <cellStyle name="Millares 2 3 6 2 2 2" xfId="2661" xr:uid="{00000000-0005-0000-0000-00002F060000}"/>
    <cellStyle name="Millares 2 3 6 2 2 2 2" xfId="4243" xr:uid="{00000000-0005-0000-0000-000030060000}"/>
    <cellStyle name="Millares 2 3 6 2 2 3" xfId="1870" xr:uid="{00000000-0005-0000-0000-000031060000}"/>
    <cellStyle name="Millares 2 3 6 2 2 4" xfId="3452" xr:uid="{00000000-0005-0000-0000-000032060000}"/>
    <cellStyle name="Millares 2 3 6 2 3" xfId="2267" xr:uid="{00000000-0005-0000-0000-000033060000}"/>
    <cellStyle name="Millares 2 3 6 2 3 2" xfId="3849" xr:uid="{00000000-0005-0000-0000-000034060000}"/>
    <cellStyle name="Millares 2 3 6 2 4" xfId="1476" xr:uid="{00000000-0005-0000-0000-000035060000}"/>
    <cellStyle name="Millares 2 3 6 2 5" xfId="3058" xr:uid="{00000000-0005-0000-0000-000036060000}"/>
    <cellStyle name="Millares 2 3 6 3" xfId="857" xr:uid="{00000000-0005-0000-0000-000037060000}"/>
    <cellStyle name="Millares 2 3 6 3 2" xfId="2440" xr:uid="{00000000-0005-0000-0000-000038060000}"/>
    <cellStyle name="Millares 2 3 6 3 2 2" xfId="4022" xr:uid="{00000000-0005-0000-0000-000039060000}"/>
    <cellStyle name="Millares 2 3 6 3 3" xfId="1649" xr:uid="{00000000-0005-0000-0000-00003A060000}"/>
    <cellStyle name="Millares 2 3 6 3 4" xfId="3231" xr:uid="{00000000-0005-0000-0000-00003B060000}"/>
    <cellStyle name="Millares 2 3 6 4" xfId="2046" xr:uid="{00000000-0005-0000-0000-00003C060000}"/>
    <cellStyle name="Millares 2 3 6 4 2" xfId="3628" xr:uid="{00000000-0005-0000-0000-00003D060000}"/>
    <cellStyle name="Millares 2 3 6 5" xfId="1255" xr:uid="{00000000-0005-0000-0000-00003E060000}"/>
    <cellStyle name="Millares 2 3 6 6" xfId="2837" xr:uid="{00000000-0005-0000-0000-00003F060000}"/>
    <cellStyle name="Millares 2 3 7" xfId="527" xr:uid="{00000000-0005-0000-0000-000040060000}"/>
    <cellStyle name="Millares 2 3 7 2" xfId="934" xr:uid="{00000000-0005-0000-0000-000041060000}"/>
    <cellStyle name="Millares 2 3 7 2 2" xfId="2517" xr:uid="{00000000-0005-0000-0000-000042060000}"/>
    <cellStyle name="Millares 2 3 7 2 2 2" xfId="4099" xr:uid="{00000000-0005-0000-0000-000043060000}"/>
    <cellStyle name="Millares 2 3 7 2 3" xfId="1726" xr:uid="{00000000-0005-0000-0000-000044060000}"/>
    <cellStyle name="Millares 2 3 7 2 4" xfId="3308" xr:uid="{00000000-0005-0000-0000-000045060000}"/>
    <cellStyle name="Millares 2 3 7 3" xfId="2123" xr:uid="{00000000-0005-0000-0000-000046060000}"/>
    <cellStyle name="Millares 2 3 7 3 2" xfId="3705" xr:uid="{00000000-0005-0000-0000-000047060000}"/>
    <cellStyle name="Millares 2 3 7 4" xfId="1332" xr:uid="{00000000-0005-0000-0000-000048060000}"/>
    <cellStyle name="Millares 2 3 7 5" xfId="2914" xr:uid="{00000000-0005-0000-0000-000049060000}"/>
    <cellStyle name="Millares 2 3 8" xfId="602" xr:uid="{00000000-0005-0000-0000-00004A060000}"/>
    <cellStyle name="Millares 2 3 8 2" xfId="1002" xr:uid="{00000000-0005-0000-0000-00004B060000}"/>
    <cellStyle name="Millares 2 3 8 2 2" xfId="2585" xr:uid="{00000000-0005-0000-0000-00004C060000}"/>
    <cellStyle name="Millares 2 3 8 2 2 2" xfId="4167" xr:uid="{00000000-0005-0000-0000-00004D060000}"/>
    <cellStyle name="Millares 2 3 8 2 3" xfId="1794" xr:uid="{00000000-0005-0000-0000-00004E060000}"/>
    <cellStyle name="Millares 2 3 8 2 4" xfId="3376" xr:uid="{00000000-0005-0000-0000-00004F060000}"/>
    <cellStyle name="Millares 2 3 8 3" xfId="2191" xr:uid="{00000000-0005-0000-0000-000050060000}"/>
    <cellStyle name="Millares 2 3 8 3 2" xfId="3773" xr:uid="{00000000-0005-0000-0000-000051060000}"/>
    <cellStyle name="Millares 2 3 8 4" xfId="1400" xr:uid="{00000000-0005-0000-0000-000052060000}"/>
    <cellStyle name="Millares 2 3 8 5" xfId="2982" xr:uid="{00000000-0005-0000-0000-000053060000}"/>
    <cellStyle name="Millares 2 3 9" xfId="754" xr:uid="{00000000-0005-0000-0000-000054060000}"/>
    <cellStyle name="Millares 2 3 9 2" xfId="1154" xr:uid="{00000000-0005-0000-0000-000055060000}"/>
    <cellStyle name="Millares 2 3 9 2 2" xfId="2737" xr:uid="{00000000-0005-0000-0000-000056060000}"/>
    <cellStyle name="Millares 2 3 9 2 2 2" xfId="4319" xr:uid="{00000000-0005-0000-0000-000057060000}"/>
    <cellStyle name="Millares 2 3 9 2 3" xfId="1946" xr:uid="{00000000-0005-0000-0000-000058060000}"/>
    <cellStyle name="Millares 2 3 9 2 4" xfId="3528" xr:uid="{00000000-0005-0000-0000-000059060000}"/>
    <cellStyle name="Millares 2 3 9 3" xfId="2343" xr:uid="{00000000-0005-0000-0000-00005A060000}"/>
    <cellStyle name="Millares 2 3 9 3 2" xfId="3925" xr:uid="{00000000-0005-0000-0000-00005B060000}"/>
    <cellStyle name="Millares 2 3 9 4" xfId="1552" xr:uid="{00000000-0005-0000-0000-00005C060000}"/>
    <cellStyle name="Millares 2 3 9 5" xfId="3134" xr:uid="{00000000-0005-0000-0000-00005D060000}"/>
    <cellStyle name="Millares 2 4" xfId="213" xr:uid="{00000000-0005-0000-0000-00005E060000}"/>
    <cellStyle name="Millares 2 4 2" xfId="4416" xr:uid="{92072F19-8390-4F1C-BB92-E72B94A466A6}"/>
    <cellStyle name="Millares 2 4 2 2" xfId="4354" xr:uid="{8EB1F59E-4A65-4B14-8C0A-59F328C9EB8A}"/>
    <cellStyle name="Millares 2 4 2 2 2" xfId="4467" xr:uid="{BBD70C99-92F9-43EF-8CAC-A89A90450CA1}"/>
    <cellStyle name="Millares 2 4 2 3" xfId="4649" xr:uid="{3A2C376A-0F03-462B-9195-F95B0BA147F2}"/>
    <cellStyle name="Millares 2 4 2 3 2" xfId="5022" xr:uid="{66BB620E-A0DB-467C-8FAD-29D859E6E77E}"/>
    <cellStyle name="Millares 2 4 3" xfId="4431" xr:uid="{55461331-CE71-4F11-9E2F-4BA1E0F9AD36}"/>
    <cellStyle name="Millares 2 4 3 2" xfId="4460" xr:uid="{7C0F1BA6-7CA2-43C5-A453-A337E79FDF13}"/>
    <cellStyle name="Millares 2 4 4" xfId="4622" xr:uid="{5F35CE92-D5C1-480C-A70D-680B8AE033DD}"/>
    <cellStyle name="Millares 2 4 4 2" xfId="4999" xr:uid="{E8C4C37D-E471-4B2F-81CB-9C3BE8A09AFB}"/>
    <cellStyle name="Millares 2 4 5" xfId="4384" xr:uid="{1E7167E9-6C9B-4FD8-AA48-CE99D8877A2E}"/>
    <cellStyle name="Millares 2 5" xfId="4408" xr:uid="{68CB7BF1-BD43-4C1A-AD69-88F3F9693A4D}"/>
    <cellStyle name="Millares 2 5 2" xfId="4437" xr:uid="{C90EAC02-08ED-4A50-B1D2-37F796616964}"/>
    <cellStyle name="Millares 2 5 2 2" xfId="4462" xr:uid="{63E49867-585D-496A-A197-06E9661F1827}"/>
    <cellStyle name="Millares 2 5 3" xfId="4642" xr:uid="{FAEF907F-3BF5-4CE8-8990-C29B87B61884}"/>
    <cellStyle name="Millares 2 5 3 2" xfId="5015" xr:uid="{2FAB20BC-E15F-477F-AF6C-1CA761572F6E}"/>
    <cellStyle name="Millares 2 6" xfId="4426" xr:uid="{E1BC1945-7E0E-42AF-8B48-A153B45F9904}"/>
    <cellStyle name="Millares 2 6 2" xfId="4455" xr:uid="{5EF8D44B-27CB-47FC-BD7D-C9CFD9E6801B}"/>
    <cellStyle name="Millares 2 7" xfId="4588" xr:uid="{E054352E-EC6C-471D-8ED7-7EC8EC5C1005}"/>
    <cellStyle name="Millares 2 7 2" xfId="4781" xr:uid="{B52ACD8E-FBAA-4794-A2E3-542666AA6C56}"/>
    <cellStyle name="Millares 2 7 2 2" xfId="5094" xr:uid="{3A438C7E-C360-4175-B602-729B5F8E8150}"/>
    <cellStyle name="Millares 2 7 3" xfId="4888" xr:uid="{E763C17B-4CD5-4400-A476-AB589FFF3325}"/>
    <cellStyle name="Millares 2 7 3 2" xfId="5173" xr:uid="{AD4C392F-3E5E-4788-86F0-C9586F576486}"/>
    <cellStyle name="Millares 2 7 4" xfId="4979" xr:uid="{A9570B16-E276-4942-8E46-353DE9FCB73D}"/>
    <cellStyle name="Millares 2 8" xfId="4615" xr:uid="{4A9C5AEF-8B49-4E86-8853-3BCFD00F928E}"/>
    <cellStyle name="Millares 2 8 2" xfId="4992" xr:uid="{9B3D85EE-17A0-438C-BAE2-79E3C3B4BD4B}"/>
    <cellStyle name="Millares 2 9" xfId="4372" xr:uid="{D3228EE2-22B0-4420-911C-A53613BA9035}"/>
    <cellStyle name="Millares 20" xfId="350" xr:uid="{00000000-0005-0000-0000-00005F060000}"/>
    <cellStyle name="Millares 20 10" xfId="4402" xr:uid="{6336B5F0-EFD9-4E57-BABC-801F9F66F12E}"/>
    <cellStyle name="Millares 20 2" xfId="471" xr:uid="{00000000-0005-0000-0000-000060060000}"/>
    <cellStyle name="Millares 20 2 2" xfId="699" xr:uid="{00000000-0005-0000-0000-000061060000}"/>
    <cellStyle name="Millares 20 2 2 2" xfId="1099" xr:uid="{00000000-0005-0000-0000-000062060000}"/>
    <cellStyle name="Millares 20 2 2 2 2" xfId="2682" xr:uid="{00000000-0005-0000-0000-000063060000}"/>
    <cellStyle name="Millares 20 2 2 2 2 2" xfId="4264" xr:uid="{00000000-0005-0000-0000-000064060000}"/>
    <cellStyle name="Millares 20 2 2 2 3" xfId="1891" xr:uid="{00000000-0005-0000-0000-000065060000}"/>
    <cellStyle name="Millares 20 2 2 2 4" xfId="3473" xr:uid="{00000000-0005-0000-0000-000066060000}"/>
    <cellStyle name="Millares 20 2 2 3" xfId="2288" xr:uid="{00000000-0005-0000-0000-000067060000}"/>
    <cellStyle name="Millares 20 2 2 3 2" xfId="3870" xr:uid="{00000000-0005-0000-0000-000068060000}"/>
    <cellStyle name="Millares 20 2 2 4" xfId="1497" xr:uid="{00000000-0005-0000-0000-000069060000}"/>
    <cellStyle name="Millares 20 2 2 5" xfId="3079" xr:uid="{00000000-0005-0000-0000-00006A060000}"/>
    <cellStyle name="Millares 20 2 3" xfId="878" xr:uid="{00000000-0005-0000-0000-00006B060000}"/>
    <cellStyle name="Millares 20 2 3 2" xfId="2461" xr:uid="{00000000-0005-0000-0000-00006C060000}"/>
    <cellStyle name="Millares 20 2 3 2 2" xfId="4043" xr:uid="{00000000-0005-0000-0000-00006D060000}"/>
    <cellStyle name="Millares 20 2 3 3" xfId="1670" xr:uid="{00000000-0005-0000-0000-00006E060000}"/>
    <cellStyle name="Millares 20 2 3 4" xfId="3252" xr:uid="{00000000-0005-0000-0000-00006F060000}"/>
    <cellStyle name="Millares 20 2 4" xfId="2067" xr:uid="{00000000-0005-0000-0000-000070060000}"/>
    <cellStyle name="Millares 20 2 4 2" xfId="3649" xr:uid="{00000000-0005-0000-0000-000071060000}"/>
    <cellStyle name="Millares 20 2 5" xfId="1276" xr:uid="{00000000-0005-0000-0000-000072060000}"/>
    <cellStyle name="Millares 20 2 6" xfId="2858" xr:uid="{00000000-0005-0000-0000-000073060000}"/>
    <cellStyle name="Millares 20 3" xfId="548" xr:uid="{00000000-0005-0000-0000-000074060000}"/>
    <cellStyle name="Millares 20 3 2" xfId="955" xr:uid="{00000000-0005-0000-0000-000075060000}"/>
    <cellStyle name="Millares 20 3 2 2" xfId="2538" xr:uid="{00000000-0005-0000-0000-000076060000}"/>
    <cellStyle name="Millares 20 3 2 2 2" xfId="4120" xr:uid="{00000000-0005-0000-0000-000077060000}"/>
    <cellStyle name="Millares 20 3 2 3" xfId="1747" xr:uid="{00000000-0005-0000-0000-000078060000}"/>
    <cellStyle name="Millares 20 3 2 4" xfId="3329" xr:uid="{00000000-0005-0000-0000-000079060000}"/>
    <cellStyle name="Millares 20 3 3" xfId="2144" xr:uid="{00000000-0005-0000-0000-00007A060000}"/>
    <cellStyle name="Millares 20 3 3 2" xfId="3726" xr:uid="{00000000-0005-0000-0000-00007B060000}"/>
    <cellStyle name="Millares 20 3 4" xfId="1353" xr:uid="{00000000-0005-0000-0000-00007C060000}"/>
    <cellStyle name="Millares 20 3 5" xfId="2935" xr:uid="{00000000-0005-0000-0000-00007D060000}"/>
    <cellStyle name="Millares 20 4" xfId="623" xr:uid="{00000000-0005-0000-0000-00007E060000}"/>
    <cellStyle name="Millares 20 4 2" xfId="1023" xr:uid="{00000000-0005-0000-0000-00007F060000}"/>
    <cellStyle name="Millares 20 4 2 2" xfId="2606" xr:uid="{00000000-0005-0000-0000-000080060000}"/>
    <cellStyle name="Millares 20 4 2 2 2" xfId="4188" xr:uid="{00000000-0005-0000-0000-000081060000}"/>
    <cellStyle name="Millares 20 4 2 3" xfId="1815" xr:uid="{00000000-0005-0000-0000-000082060000}"/>
    <cellStyle name="Millares 20 4 2 4" xfId="3397" xr:uid="{00000000-0005-0000-0000-000083060000}"/>
    <cellStyle name="Millares 20 4 3" xfId="2212" xr:uid="{00000000-0005-0000-0000-000084060000}"/>
    <cellStyle name="Millares 20 4 3 2" xfId="3794" xr:uid="{00000000-0005-0000-0000-000085060000}"/>
    <cellStyle name="Millares 20 4 4" xfId="1421" xr:uid="{00000000-0005-0000-0000-000086060000}"/>
    <cellStyle name="Millares 20 4 5" xfId="3003" xr:uid="{00000000-0005-0000-0000-000087060000}"/>
    <cellStyle name="Millares 20 5" xfId="802" xr:uid="{00000000-0005-0000-0000-000088060000}"/>
    <cellStyle name="Millares 20 5 2" xfId="2385" xr:uid="{00000000-0005-0000-0000-000089060000}"/>
    <cellStyle name="Millares 20 5 2 2" xfId="3967" xr:uid="{00000000-0005-0000-0000-00008A060000}"/>
    <cellStyle name="Millares 20 5 3" xfId="1594" xr:uid="{00000000-0005-0000-0000-00008B060000}"/>
    <cellStyle name="Millares 20 5 4" xfId="3176" xr:uid="{00000000-0005-0000-0000-00008C060000}"/>
    <cellStyle name="Millares 20 6" xfId="1991" xr:uid="{00000000-0005-0000-0000-00008D060000}"/>
    <cellStyle name="Millares 20 6 2" xfId="3573" xr:uid="{00000000-0005-0000-0000-00008E060000}"/>
    <cellStyle name="Millares 20 7" xfId="1200" xr:uid="{00000000-0005-0000-0000-00008F060000}"/>
    <cellStyle name="Millares 20 8" xfId="2782" xr:uid="{00000000-0005-0000-0000-000090060000}"/>
    <cellStyle name="Millares 20 9" xfId="4636" xr:uid="{CA84A48A-985B-43F7-B36A-21ED31B5220D}"/>
    <cellStyle name="Millares 20 9 2" xfId="5009" xr:uid="{344FBC92-C230-4372-BB1E-478530F95138}"/>
    <cellStyle name="Millares 21" xfId="361" xr:uid="{00000000-0005-0000-0000-000091060000}"/>
    <cellStyle name="Millares 21 2" xfId="479" xr:uid="{00000000-0005-0000-0000-000092060000}"/>
    <cellStyle name="Millares 21 2 2" xfId="707" xr:uid="{00000000-0005-0000-0000-000093060000}"/>
    <cellStyle name="Millares 21 2 2 2" xfId="1107" xr:uid="{00000000-0005-0000-0000-000094060000}"/>
    <cellStyle name="Millares 21 2 2 2 2" xfId="2690" xr:uid="{00000000-0005-0000-0000-000095060000}"/>
    <cellStyle name="Millares 21 2 2 2 2 2" xfId="4272" xr:uid="{00000000-0005-0000-0000-000096060000}"/>
    <cellStyle name="Millares 21 2 2 2 3" xfId="1899" xr:uid="{00000000-0005-0000-0000-000097060000}"/>
    <cellStyle name="Millares 21 2 2 2 4" xfId="3481" xr:uid="{00000000-0005-0000-0000-000098060000}"/>
    <cellStyle name="Millares 21 2 2 3" xfId="2296" xr:uid="{00000000-0005-0000-0000-000099060000}"/>
    <cellStyle name="Millares 21 2 2 3 2" xfId="3878" xr:uid="{00000000-0005-0000-0000-00009A060000}"/>
    <cellStyle name="Millares 21 2 2 4" xfId="1505" xr:uid="{00000000-0005-0000-0000-00009B060000}"/>
    <cellStyle name="Millares 21 2 2 5" xfId="3087" xr:uid="{00000000-0005-0000-0000-00009C060000}"/>
    <cellStyle name="Millares 21 2 3" xfId="886" xr:uid="{00000000-0005-0000-0000-00009D060000}"/>
    <cellStyle name="Millares 21 2 3 2" xfId="2469" xr:uid="{00000000-0005-0000-0000-00009E060000}"/>
    <cellStyle name="Millares 21 2 3 2 2" xfId="4051" xr:uid="{00000000-0005-0000-0000-00009F060000}"/>
    <cellStyle name="Millares 21 2 3 3" xfId="1678" xr:uid="{00000000-0005-0000-0000-0000A0060000}"/>
    <cellStyle name="Millares 21 2 3 4" xfId="3260" xr:uid="{00000000-0005-0000-0000-0000A1060000}"/>
    <cellStyle name="Millares 21 2 4" xfId="2075" xr:uid="{00000000-0005-0000-0000-0000A2060000}"/>
    <cellStyle name="Millares 21 2 4 2" xfId="3657" xr:uid="{00000000-0005-0000-0000-0000A3060000}"/>
    <cellStyle name="Millares 21 2 5" xfId="1284" xr:uid="{00000000-0005-0000-0000-0000A4060000}"/>
    <cellStyle name="Millares 21 2 6" xfId="2866" xr:uid="{00000000-0005-0000-0000-0000A5060000}"/>
    <cellStyle name="Millares 21 3" xfId="556" xr:uid="{00000000-0005-0000-0000-0000A6060000}"/>
    <cellStyle name="Millares 21 3 2" xfId="963" xr:uid="{00000000-0005-0000-0000-0000A7060000}"/>
    <cellStyle name="Millares 21 3 2 2" xfId="2546" xr:uid="{00000000-0005-0000-0000-0000A8060000}"/>
    <cellStyle name="Millares 21 3 2 2 2" xfId="4128" xr:uid="{00000000-0005-0000-0000-0000A9060000}"/>
    <cellStyle name="Millares 21 3 2 3" xfId="1755" xr:uid="{00000000-0005-0000-0000-0000AA060000}"/>
    <cellStyle name="Millares 21 3 2 4" xfId="3337" xr:uid="{00000000-0005-0000-0000-0000AB060000}"/>
    <cellStyle name="Millares 21 3 3" xfId="2152" xr:uid="{00000000-0005-0000-0000-0000AC060000}"/>
    <cellStyle name="Millares 21 3 3 2" xfId="3734" xr:uid="{00000000-0005-0000-0000-0000AD060000}"/>
    <cellStyle name="Millares 21 3 4" xfId="1361" xr:uid="{00000000-0005-0000-0000-0000AE060000}"/>
    <cellStyle name="Millares 21 3 5" xfId="2943" xr:uid="{00000000-0005-0000-0000-0000AF060000}"/>
    <cellStyle name="Millares 21 4" xfId="631" xr:uid="{00000000-0005-0000-0000-0000B0060000}"/>
    <cellStyle name="Millares 21 4 2" xfId="1031" xr:uid="{00000000-0005-0000-0000-0000B1060000}"/>
    <cellStyle name="Millares 21 4 2 2" xfId="2614" xr:uid="{00000000-0005-0000-0000-0000B2060000}"/>
    <cellStyle name="Millares 21 4 2 2 2" xfId="4196" xr:uid="{00000000-0005-0000-0000-0000B3060000}"/>
    <cellStyle name="Millares 21 4 2 3" xfId="1823" xr:uid="{00000000-0005-0000-0000-0000B4060000}"/>
    <cellStyle name="Millares 21 4 2 4" xfId="3405" xr:uid="{00000000-0005-0000-0000-0000B5060000}"/>
    <cellStyle name="Millares 21 4 3" xfId="2220" xr:uid="{00000000-0005-0000-0000-0000B6060000}"/>
    <cellStyle name="Millares 21 4 3 2" xfId="3802" xr:uid="{00000000-0005-0000-0000-0000B7060000}"/>
    <cellStyle name="Millares 21 4 4" xfId="1429" xr:uid="{00000000-0005-0000-0000-0000B8060000}"/>
    <cellStyle name="Millares 21 4 5" xfId="3011" xr:uid="{00000000-0005-0000-0000-0000B9060000}"/>
    <cellStyle name="Millares 21 5" xfId="810" xr:uid="{00000000-0005-0000-0000-0000BA060000}"/>
    <cellStyle name="Millares 21 5 2" xfId="2393" xr:uid="{00000000-0005-0000-0000-0000BB060000}"/>
    <cellStyle name="Millares 21 5 2 2" xfId="3975" xr:uid="{00000000-0005-0000-0000-0000BC060000}"/>
    <cellStyle name="Millares 21 5 3" xfId="1602" xr:uid="{00000000-0005-0000-0000-0000BD060000}"/>
    <cellStyle name="Millares 21 5 4" xfId="3184" xr:uid="{00000000-0005-0000-0000-0000BE060000}"/>
    <cellStyle name="Millares 21 6" xfId="1999" xr:uid="{00000000-0005-0000-0000-0000BF060000}"/>
    <cellStyle name="Millares 21 6 2" xfId="3581" xr:uid="{00000000-0005-0000-0000-0000C0060000}"/>
    <cellStyle name="Millares 21 7" xfId="1208" xr:uid="{00000000-0005-0000-0000-0000C1060000}"/>
    <cellStyle name="Millares 21 8" xfId="2790" xr:uid="{00000000-0005-0000-0000-0000C2060000}"/>
    <cellStyle name="Millares 22" xfId="357" xr:uid="{00000000-0005-0000-0000-0000C3060000}"/>
    <cellStyle name="Millares 22 2" xfId="478" xr:uid="{00000000-0005-0000-0000-0000C4060000}"/>
    <cellStyle name="Millares 22 2 2" xfId="706" xr:uid="{00000000-0005-0000-0000-0000C5060000}"/>
    <cellStyle name="Millares 22 2 2 2" xfId="1106" xr:uid="{00000000-0005-0000-0000-0000C6060000}"/>
    <cellStyle name="Millares 22 2 2 2 2" xfId="2689" xr:uid="{00000000-0005-0000-0000-0000C7060000}"/>
    <cellStyle name="Millares 22 2 2 2 2 2" xfId="4271" xr:uid="{00000000-0005-0000-0000-0000C8060000}"/>
    <cellStyle name="Millares 22 2 2 2 3" xfId="1898" xr:uid="{00000000-0005-0000-0000-0000C9060000}"/>
    <cellStyle name="Millares 22 2 2 2 4" xfId="3480" xr:uid="{00000000-0005-0000-0000-0000CA060000}"/>
    <cellStyle name="Millares 22 2 2 3" xfId="2295" xr:uid="{00000000-0005-0000-0000-0000CB060000}"/>
    <cellStyle name="Millares 22 2 2 3 2" xfId="3877" xr:uid="{00000000-0005-0000-0000-0000CC060000}"/>
    <cellStyle name="Millares 22 2 2 4" xfId="1504" xr:uid="{00000000-0005-0000-0000-0000CD060000}"/>
    <cellStyle name="Millares 22 2 2 5" xfId="3086" xr:uid="{00000000-0005-0000-0000-0000CE060000}"/>
    <cellStyle name="Millares 22 2 3" xfId="885" xr:uid="{00000000-0005-0000-0000-0000CF060000}"/>
    <cellStyle name="Millares 22 2 3 2" xfId="2468" xr:uid="{00000000-0005-0000-0000-0000D0060000}"/>
    <cellStyle name="Millares 22 2 3 2 2" xfId="4050" xr:uid="{00000000-0005-0000-0000-0000D1060000}"/>
    <cellStyle name="Millares 22 2 3 3" xfId="1677" xr:uid="{00000000-0005-0000-0000-0000D2060000}"/>
    <cellStyle name="Millares 22 2 3 4" xfId="3259" xr:uid="{00000000-0005-0000-0000-0000D3060000}"/>
    <cellStyle name="Millares 22 2 4" xfId="2074" xr:uid="{00000000-0005-0000-0000-0000D4060000}"/>
    <cellStyle name="Millares 22 2 4 2" xfId="3656" xr:uid="{00000000-0005-0000-0000-0000D5060000}"/>
    <cellStyle name="Millares 22 2 5" xfId="1283" xr:uid="{00000000-0005-0000-0000-0000D6060000}"/>
    <cellStyle name="Millares 22 2 6" xfId="2865" xr:uid="{00000000-0005-0000-0000-0000D7060000}"/>
    <cellStyle name="Millares 22 3" xfId="555" xr:uid="{00000000-0005-0000-0000-0000D8060000}"/>
    <cellStyle name="Millares 22 3 2" xfId="962" xr:uid="{00000000-0005-0000-0000-0000D9060000}"/>
    <cellStyle name="Millares 22 3 2 2" xfId="2545" xr:uid="{00000000-0005-0000-0000-0000DA060000}"/>
    <cellStyle name="Millares 22 3 2 2 2" xfId="4127" xr:uid="{00000000-0005-0000-0000-0000DB060000}"/>
    <cellStyle name="Millares 22 3 2 3" xfId="1754" xr:uid="{00000000-0005-0000-0000-0000DC060000}"/>
    <cellStyle name="Millares 22 3 2 4" xfId="3336" xr:uid="{00000000-0005-0000-0000-0000DD060000}"/>
    <cellStyle name="Millares 22 3 3" xfId="2151" xr:uid="{00000000-0005-0000-0000-0000DE060000}"/>
    <cellStyle name="Millares 22 3 3 2" xfId="3733" xr:uid="{00000000-0005-0000-0000-0000DF060000}"/>
    <cellStyle name="Millares 22 3 4" xfId="1360" xr:uid="{00000000-0005-0000-0000-0000E0060000}"/>
    <cellStyle name="Millares 22 3 5" xfId="2942" xr:uid="{00000000-0005-0000-0000-0000E1060000}"/>
    <cellStyle name="Millares 22 4" xfId="630" xr:uid="{00000000-0005-0000-0000-0000E2060000}"/>
    <cellStyle name="Millares 22 4 2" xfId="1030" xr:uid="{00000000-0005-0000-0000-0000E3060000}"/>
    <cellStyle name="Millares 22 4 2 2" xfId="2613" xr:uid="{00000000-0005-0000-0000-0000E4060000}"/>
    <cellStyle name="Millares 22 4 2 2 2" xfId="4195" xr:uid="{00000000-0005-0000-0000-0000E5060000}"/>
    <cellStyle name="Millares 22 4 2 3" xfId="1822" xr:uid="{00000000-0005-0000-0000-0000E6060000}"/>
    <cellStyle name="Millares 22 4 2 4" xfId="3404" xr:uid="{00000000-0005-0000-0000-0000E7060000}"/>
    <cellStyle name="Millares 22 4 3" xfId="2219" xr:uid="{00000000-0005-0000-0000-0000E8060000}"/>
    <cellStyle name="Millares 22 4 3 2" xfId="3801" xr:uid="{00000000-0005-0000-0000-0000E9060000}"/>
    <cellStyle name="Millares 22 4 4" xfId="1428" xr:uid="{00000000-0005-0000-0000-0000EA060000}"/>
    <cellStyle name="Millares 22 4 5" xfId="3010" xr:uid="{00000000-0005-0000-0000-0000EB060000}"/>
    <cellStyle name="Millares 22 5" xfId="809" xr:uid="{00000000-0005-0000-0000-0000EC060000}"/>
    <cellStyle name="Millares 22 5 2" xfId="2392" xr:uid="{00000000-0005-0000-0000-0000ED060000}"/>
    <cellStyle name="Millares 22 5 2 2" xfId="3974" xr:uid="{00000000-0005-0000-0000-0000EE060000}"/>
    <cellStyle name="Millares 22 5 3" xfId="1601" xr:uid="{00000000-0005-0000-0000-0000EF060000}"/>
    <cellStyle name="Millares 22 5 4" xfId="3183" xr:uid="{00000000-0005-0000-0000-0000F0060000}"/>
    <cellStyle name="Millares 22 6" xfId="1998" xr:uid="{00000000-0005-0000-0000-0000F1060000}"/>
    <cellStyle name="Millares 22 6 2" xfId="3580" xr:uid="{00000000-0005-0000-0000-0000F2060000}"/>
    <cellStyle name="Millares 22 7" xfId="1207" xr:uid="{00000000-0005-0000-0000-0000F3060000}"/>
    <cellStyle name="Millares 22 8" xfId="2789" xr:uid="{00000000-0005-0000-0000-0000F4060000}"/>
    <cellStyle name="Millares 23" xfId="433" xr:uid="{00000000-0005-0000-0000-0000F5060000}"/>
    <cellStyle name="Millares 23 2" xfId="509" xr:uid="{00000000-0005-0000-0000-0000F6060000}"/>
    <cellStyle name="Millares 23 2 2" xfId="737" xr:uid="{00000000-0005-0000-0000-0000F7060000}"/>
    <cellStyle name="Millares 23 2 2 2" xfId="1137" xr:uid="{00000000-0005-0000-0000-0000F8060000}"/>
    <cellStyle name="Millares 23 2 2 2 2" xfId="2720" xr:uid="{00000000-0005-0000-0000-0000F9060000}"/>
    <cellStyle name="Millares 23 2 2 2 2 2" xfId="4302" xr:uid="{00000000-0005-0000-0000-0000FA060000}"/>
    <cellStyle name="Millares 23 2 2 2 3" xfId="1929" xr:uid="{00000000-0005-0000-0000-0000FB060000}"/>
    <cellStyle name="Millares 23 2 2 2 4" xfId="3511" xr:uid="{00000000-0005-0000-0000-0000FC060000}"/>
    <cellStyle name="Millares 23 2 2 3" xfId="2326" xr:uid="{00000000-0005-0000-0000-0000FD060000}"/>
    <cellStyle name="Millares 23 2 2 3 2" xfId="3908" xr:uid="{00000000-0005-0000-0000-0000FE060000}"/>
    <cellStyle name="Millares 23 2 2 4" xfId="1535" xr:uid="{00000000-0005-0000-0000-0000FF060000}"/>
    <cellStyle name="Millares 23 2 2 5" xfId="3117" xr:uid="{00000000-0005-0000-0000-000000070000}"/>
    <cellStyle name="Millares 23 2 3" xfId="916" xr:uid="{00000000-0005-0000-0000-000001070000}"/>
    <cellStyle name="Millares 23 2 3 2" xfId="2499" xr:uid="{00000000-0005-0000-0000-000002070000}"/>
    <cellStyle name="Millares 23 2 3 2 2" xfId="4081" xr:uid="{00000000-0005-0000-0000-000003070000}"/>
    <cellStyle name="Millares 23 2 3 3" xfId="1708" xr:uid="{00000000-0005-0000-0000-000004070000}"/>
    <cellStyle name="Millares 23 2 3 4" xfId="3290" xr:uid="{00000000-0005-0000-0000-000005070000}"/>
    <cellStyle name="Millares 23 2 4" xfId="2105" xr:uid="{00000000-0005-0000-0000-000006070000}"/>
    <cellStyle name="Millares 23 2 4 2" xfId="3687" xr:uid="{00000000-0005-0000-0000-000007070000}"/>
    <cellStyle name="Millares 23 2 5" xfId="1314" xr:uid="{00000000-0005-0000-0000-000008070000}"/>
    <cellStyle name="Millares 23 2 6" xfId="2896" xr:uid="{00000000-0005-0000-0000-000009070000}"/>
    <cellStyle name="Millares 23 3" xfId="586" xr:uid="{00000000-0005-0000-0000-00000A070000}"/>
    <cellStyle name="Millares 23 3 2" xfId="993" xr:uid="{00000000-0005-0000-0000-00000B070000}"/>
    <cellStyle name="Millares 23 3 2 2" xfId="2576" xr:uid="{00000000-0005-0000-0000-00000C070000}"/>
    <cellStyle name="Millares 23 3 2 2 2" xfId="4158" xr:uid="{00000000-0005-0000-0000-00000D070000}"/>
    <cellStyle name="Millares 23 3 2 3" xfId="1785" xr:uid="{00000000-0005-0000-0000-00000E070000}"/>
    <cellStyle name="Millares 23 3 2 4" xfId="3367" xr:uid="{00000000-0005-0000-0000-00000F070000}"/>
    <cellStyle name="Millares 23 3 3" xfId="2182" xr:uid="{00000000-0005-0000-0000-000010070000}"/>
    <cellStyle name="Millares 23 3 3 2" xfId="3764" xr:uid="{00000000-0005-0000-0000-000011070000}"/>
    <cellStyle name="Millares 23 3 4" xfId="1391" xr:uid="{00000000-0005-0000-0000-000012070000}"/>
    <cellStyle name="Millares 23 3 5" xfId="2973" xr:uid="{00000000-0005-0000-0000-000013070000}"/>
    <cellStyle name="Millares 23 4" xfId="661" xr:uid="{00000000-0005-0000-0000-000014070000}"/>
    <cellStyle name="Millares 23 4 2" xfId="1061" xr:uid="{00000000-0005-0000-0000-000015070000}"/>
    <cellStyle name="Millares 23 4 2 2" xfId="2644" xr:uid="{00000000-0005-0000-0000-000016070000}"/>
    <cellStyle name="Millares 23 4 2 2 2" xfId="4226" xr:uid="{00000000-0005-0000-0000-000017070000}"/>
    <cellStyle name="Millares 23 4 2 3" xfId="1853" xr:uid="{00000000-0005-0000-0000-000018070000}"/>
    <cellStyle name="Millares 23 4 2 4" xfId="3435" xr:uid="{00000000-0005-0000-0000-000019070000}"/>
    <cellStyle name="Millares 23 4 3" xfId="2250" xr:uid="{00000000-0005-0000-0000-00001A070000}"/>
    <cellStyle name="Millares 23 4 3 2" xfId="3832" xr:uid="{00000000-0005-0000-0000-00001B070000}"/>
    <cellStyle name="Millares 23 4 4" xfId="1459" xr:uid="{00000000-0005-0000-0000-00001C070000}"/>
    <cellStyle name="Millares 23 4 5" xfId="3041" xr:uid="{00000000-0005-0000-0000-00001D070000}"/>
    <cellStyle name="Millares 23 5" xfId="840" xr:uid="{00000000-0005-0000-0000-00001E070000}"/>
    <cellStyle name="Millares 23 5 2" xfId="2423" xr:uid="{00000000-0005-0000-0000-00001F070000}"/>
    <cellStyle name="Millares 23 5 2 2" xfId="4005" xr:uid="{00000000-0005-0000-0000-000020070000}"/>
    <cellStyle name="Millares 23 5 3" xfId="1632" xr:uid="{00000000-0005-0000-0000-000021070000}"/>
    <cellStyle name="Millares 23 5 4" xfId="3214" xr:uid="{00000000-0005-0000-0000-000022070000}"/>
    <cellStyle name="Millares 23 6" xfId="2029" xr:uid="{00000000-0005-0000-0000-000023070000}"/>
    <cellStyle name="Millares 23 6 2" xfId="3611" xr:uid="{00000000-0005-0000-0000-000024070000}"/>
    <cellStyle name="Millares 23 7" xfId="1238" xr:uid="{00000000-0005-0000-0000-000025070000}"/>
    <cellStyle name="Millares 23 8" xfId="2820" xr:uid="{00000000-0005-0000-0000-000026070000}"/>
    <cellStyle name="Millares 24" xfId="363" xr:uid="{00000000-0005-0000-0000-000027070000}"/>
    <cellStyle name="Millares 24 2" xfId="481" xr:uid="{00000000-0005-0000-0000-000028070000}"/>
    <cellStyle name="Millares 24 2 2" xfId="709" xr:uid="{00000000-0005-0000-0000-000029070000}"/>
    <cellStyle name="Millares 24 2 2 2" xfId="1109" xr:uid="{00000000-0005-0000-0000-00002A070000}"/>
    <cellStyle name="Millares 24 2 2 2 2" xfId="2692" xr:uid="{00000000-0005-0000-0000-00002B070000}"/>
    <cellStyle name="Millares 24 2 2 2 2 2" xfId="4274" xr:uid="{00000000-0005-0000-0000-00002C070000}"/>
    <cellStyle name="Millares 24 2 2 2 3" xfId="1901" xr:uid="{00000000-0005-0000-0000-00002D070000}"/>
    <cellStyle name="Millares 24 2 2 2 4" xfId="3483" xr:uid="{00000000-0005-0000-0000-00002E070000}"/>
    <cellStyle name="Millares 24 2 2 3" xfId="2298" xr:uid="{00000000-0005-0000-0000-00002F070000}"/>
    <cellStyle name="Millares 24 2 2 3 2" xfId="3880" xr:uid="{00000000-0005-0000-0000-000030070000}"/>
    <cellStyle name="Millares 24 2 2 4" xfId="1507" xr:uid="{00000000-0005-0000-0000-000031070000}"/>
    <cellStyle name="Millares 24 2 2 5" xfId="3089" xr:uid="{00000000-0005-0000-0000-000032070000}"/>
    <cellStyle name="Millares 24 2 3" xfId="888" xr:uid="{00000000-0005-0000-0000-000033070000}"/>
    <cellStyle name="Millares 24 2 3 2" xfId="2471" xr:uid="{00000000-0005-0000-0000-000034070000}"/>
    <cellStyle name="Millares 24 2 3 2 2" xfId="4053" xr:uid="{00000000-0005-0000-0000-000035070000}"/>
    <cellStyle name="Millares 24 2 3 3" xfId="1680" xr:uid="{00000000-0005-0000-0000-000036070000}"/>
    <cellStyle name="Millares 24 2 3 4" xfId="3262" xr:uid="{00000000-0005-0000-0000-000037070000}"/>
    <cellStyle name="Millares 24 2 4" xfId="2077" xr:uid="{00000000-0005-0000-0000-000038070000}"/>
    <cellStyle name="Millares 24 2 4 2" xfId="3659" xr:uid="{00000000-0005-0000-0000-000039070000}"/>
    <cellStyle name="Millares 24 2 5" xfId="1286" xr:uid="{00000000-0005-0000-0000-00003A070000}"/>
    <cellStyle name="Millares 24 2 6" xfId="2868" xr:uid="{00000000-0005-0000-0000-00003B070000}"/>
    <cellStyle name="Millares 24 3" xfId="558" xr:uid="{00000000-0005-0000-0000-00003C070000}"/>
    <cellStyle name="Millares 24 3 2" xfId="965" xr:uid="{00000000-0005-0000-0000-00003D070000}"/>
    <cellStyle name="Millares 24 3 2 2" xfId="2548" xr:uid="{00000000-0005-0000-0000-00003E070000}"/>
    <cellStyle name="Millares 24 3 2 2 2" xfId="4130" xr:uid="{00000000-0005-0000-0000-00003F070000}"/>
    <cellStyle name="Millares 24 3 2 3" xfId="1757" xr:uid="{00000000-0005-0000-0000-000040070000}"/>
    <cellStyle name="Millares 24 3 2 4" xfId="3339" xr:uid="{00000000-0005-0000-0000-000041070000}"/>
    <cellStyle name="Millares 24 3 3" xfId="2154" xr:uid="{00000000-0005-0000-0000-000042070000}"/>
    <cellStyle name="Millares 24 3 3 2" xfId="3736" xr:uid="{00000000-0005-0000-0000-000043070000}"/>
    <cellStyle name="Millares 24 3 4" xfId="1363" xr:uid="{00000000-0005-0000-0000-000044070000}"/>
    <cellStyle name="Millares 24 3 5" xfId="2945" xr:uid="{00000000-0005-0000-0000-000045070000}"/>
    <cellStyle name="Millares 24 4" xfId="633" xr:uid="{00000000-0005-0000-0000-000046070000}"/>
    <cellStyle name="Millares 24 4 2" xfId="1033" xr:uid="{00000000-0005-0000-0000-000047070000}"/>
    <cellStyle name="Millares 24 4 2 2" xfId="2616" xr:uid="{00000000-0005-0000-0000-000048070000}"/>
    <cellStyle name="Millares 24 4 2 2 2" xfId="4198" xr:uid="{00000000-0005-0000-0000-000049070000}"/>
    <cellStyle name="Millares 24 4 2 3" xfId="1825" xr:uid="{00000000-0005-0000-0000-00004A070000}"/>
    <cellStyle name="Millares 24 4 2 4" xfId="3407" xr:uid="{00000000-0005-0000-0000-00004B070000}"/>
    <cellStyle name="Millares 24 4 3" xfId="2222" xr:uid="{00000000-0005-0000-0000-00004C070000}"/>
    <cellStyle name="Millares 24 4 3 2" xfId="3804" xr:uid="{00000000-0005-0000-0000-00004D070000}"/>
    <cellStyle name="Millares 24 4 4" xfId="1431" xr:uid="{00000000-0005-0000-0000-00004E070000}"/>
    <cellStyle name="Millares 24 4 5" xfId="3013" xr:uid="{00000000-0005-0000-0000-00004F070000}"/>
    <cellStyle name="Millares 24 5" xfId="812" xr:uid="{00000000-0005-0000-0000-000050070000}"/>
    <cellStyle name="Millares 24 5 2" xfId="2395" xr:uid="{00000000-0005-0000-0000-000051070000}"/>
    <cellStyle name="Millares 24 5 2 2" xfId="3977" xr:uid="{00000000-0005-0000-0000-000052070000}"/>
    <cellStyle name="Millares 24 5 3" xfId="1604" xr:uid="{00000000-0005-0000-0000-000053070000}"/>
    <cellStyle name="Millares 24 5 4" xfId="3186" xr:uid="{00000000-0005-0000-0000-000054070000}"/>
    <cellStyle name="Millares 24 6" xfId="2001" xr:uid="{00000000-0005-0000-0000-000055070000}"/>
    <cellStyle name="Millares 24 6 2" xfId="3583" xr:uid="{00000000-0005-0000-0000-000056070000}"/>
    <cellStyle name="Millares 24 7" xfId="1210" xr:uid="{00000000-0005-0000-0000-000057070000}"/>
    <cellStyle name="Millares 24 8" xfId="2792" xr:uid="{00000000-0005-0000-0000-000058070000}"/>
    <cellStyle name="Millares 25" xfId="354" xr:uid="{00000000-0005-0000-0000-000059070000}"/>
    <cellStyle name="Millares 25 10" xfId="4445" xr:uid="{FA06D671-B739-4760-92A6-24CCACD90C48}"/>
    <cellStyle name="Millares 25 2" xfId="475" xr:uid="{00000000-0005-0000-0000-00005A070000}"/>
    <cellStyle name="Millares 25 2 2" xfId="703" xr:uid="{00000000-0005-0000-0000-00005B070000}"/>
    <cellStyle name="Millares 25 2 2 2" xfId="1103" xr:uid="{00000000-0005-0000-0000-00005C070000}"/>
    <cellStyle name="Millares 25 2 2 2 2" xfId="2686" xr:uid="{00000000-0005-0000-0000-00005D070000}"/>
    <cellStyle name="Millares 25 2 2 2 2 2" xfId="4268" xr:uid="{00000000-0005-0000-0000-00005E070000}"/>
    <cellStyle name="Millares 25 2 2 2 3" xfId="1895" xr:uid="{00000000-0005-0000-0000-00005F070000}"/>
    <cellStyle name="Millares 25 2 2 2 4" xfId="3477" xr:uid="{00000000-0005-0000-0000-000060070000}"/>
    <cellStyle name="Millares 25 2 2 3" xfId="2292" xr:uid="{00000000-0005-0000-0000-000061070000}"/>
    <cellStyle name="Millares 25 2 2 3 2" xfId="3874" xr:uid="{00000000-0005-0000-0000-000062070000}"/>
    <cellStyle name="Millares 25 2 2 4" xfId="1501" xr:uid="{00000000-0005-0000-0000-000063070000}"/>
    <cellStyle name="Millares 25 2 2 5" xfId="3083" xr:uid="{00000000-0005-0000-0000-000064070000}"/>
    <cellStyle name="Millares 25 2 3" xfId="882" xr:uid="{00000000-0005-0000-0000-000065070000}"/>
    <cellStyle name="Millares 25 2 3 2" xfId="2465" xr:uid="{00000000-0005-0000-0000-000066070000}"/>
    <cellStyle name="Millares 25 2 3 2 2" xfId="4047" xr:uid="{00000000-0005-0000-0000-000067070000}"/>
    <cellStyle name="Millares 25 2 3 3" xfId="1674" xr:uid="{00000000-0005-0000-0000-000068070000}"/>
    <cellStyle name="Millares 25 2 3 4" xfId="3256" xr:uid="{00000000-0005-0000-0000-000069070000}"/>
    <cellStyle name="Millares 25 2 4" xfId="2071" xr:uid="{00000000-0005-0000-0000-00006A070000}"/>
    <cellStyle name="Millares 25 2 4 2" xfId="3653" xr:uid="{00000000-0005-0000-0000-00006B070000}"/>
    <cellStyle name="Millares 25 2 5" xfId="1280" xr:uid="{00000000-0005-0000-0000-00006C070000}"/>
    <cellStyle name="Millares 25 2 6" xfId="2862" xr:uid="{00000000-0005-0000-0000-00006D070000}"/>
    <cellStyle name="Millares 25 2 7" xfId="4589" xr:uid="{4F9807D4-93CE-411C-AC83-CC100B3037BE}"/>
    <cellStyle name="Millares 25 2 8" xfId="4470" xr:uid="{AC0483AD-2D57-431C-AEFF-80E07E30DADE}"/>
    <cellStyle name="Millares 25 3" xfId="552" xr:uid="{00000000-0005-0000-0000-00006E070000}"/>
    <cellStyle name="Millares 25 3 2" xfId="959" xr:uid="{00000000-0005-0000-0000-00006F070000}"/>
    <cellStyle name="Millares 25 3 2 2" xfId="2542" xr:uid="{00000000-0005-0000-0000-000070070000}"/>
    <cellStyle name="Millares 25 3 2 2 2" xfId="4124" xr:uid="{00000000-0005-0000-0000-000071070000}"/>
    <cellStyle name="Millares 25 3 2 3" xfId="1751" xr:uid="{00000000-0005-0000-0000-000072070000}"/>
    <cellStyle name="Millares 25 3 2 4" xfId="3333" xr:uid="{00000000-0005-0000-0000-000073070000}"/>
    <cellStyle name="Millares 25 3 3" xfId="2148" xr:uid="{00000000-0005-0000-0000-000074070000}"/>
    <cellStyle name="Millares 25 3 3 2" xfId="3730" xr:uid="{00000000-0005-0000-0000-000075070000}"/>
    <cellStyle name="Millares 25 3 4" xfId="1357" xr:uid="{00000000-0005-0000-0000-000076070000}"/>
    <cellStyle name="Millares 25 3 5" xfId="2939" xr:uid="{00000000-0005-0000-0000-000077070000}"/>
    <cellStyle name="Millares 25 4" xfId="627" xr:uid="{00000000-0005-0000-0000-000078070000}"/>
    <cellStyle name="Millares 25 4 2" xfId="1027" xr:uid="{00000000-0005-0000-0000-000079070000}"/>
    <cellStyle name="Millares 25 4 2 2" xfId="2610" xr:uid="{00000000-0005-0000-0000-00007A070000}"/>
    <cellStyle name="Millares 25 4 2 2 2" xfId="4192" xr:uid="{00000000-0005-0000-0000-00007B070000}"/>
    <cellStyle name="Millares 25 4 2 3" xfId="1819" xr:uid="{00000000-0005-0000-0000-00007C070000}"/>
    <cellStyle name="Millares 25 4 2 4" xfId="3401" xr:uid="{00000000-0005-0000-0000-00007D070000}"/>
    <cellStyle name="Millares 25 4 3" xfId="2216" xr:uid="{00000000-0005-0000-0000-00007E070000}"/>
    <cellStyle name="Millares 25 4 3 2" xfId="3798" xr:uid="{00000000-0005-0000-0000-00007F070000}"/>
    <cellStyle name="Millares 25 4 4" xfId="1425" xr:uid="{00000000-0005-0000-0000-000080070000}"/>
    <cellStyle name="Millares 25 4 5" xfId="3007" xr:uid="{00000000-0005-0000-0000-000081070000}"/>
    <cellStyle name="Millares 25 5" xfId="806" xr:uid="{00000000-0005-0000-0000-000082070000}"/>
    <cellStyle name="Millares 25 5 2" xfId="2389" xr:uid="{00000000-0005-0000-0000-000083070000}"/>
    <cellStyle name="Millares 25 5 2 2" xfId="3971" xr:uid="{00000000-0005-0000-0000-000084070000}"/>
    <cellStyle name="Millares 25 5 3" xfId="1598" xr:uid="{00000000-0005-0000-0000-000085070000}"/>
    <cellStyle name="Millares 25 5 4" xfId="3180" xr:uid="{00000000-0005-0000-0000-000086070000}"/>
    <cellStyle name="Millares 25 6" xfId="1995" xr:uid="{00000000-0005-0000-0000-000087070000}"/>
    <cellStyle name="Millares 25 6 2" xfId="3577" xr:uid="{00000000-0005-0000-0000-000088070000}"/>
    <cellStyle name="Millares 25 7" xfId="1204" xr:uid="{00000000-0005-0000-0000-000089070000}"/>
    <cellStyle name="Millares 25 8" xfId="2786" xr:uid="{00000000-0005-0000-0000-00008A070000}"/>
    <cellStyle name="Millares 25 9" xfId="4590" xr:uid="{85B1CA1C-1629-4F41-8E01-050A1A8F9E0D}"/>
    <cellStyle name="Millares 26" xfId="434" xr:uid="{00000000-0005-0000-0000-00008B070000}"/>
    <cellStyle name="Millares 26 2" xfId="510" xr:uid="{00000000-0005-0000-0000-00008C070000}"/>
    <cellStyle name="Millares 26 2 2" xfId="738" xr:uid="{00000000-0005-0000-0000-00008D070000}"/>
    <cellStyle name="Millares 26 2 2 2" xfId="1138" xr:uid="{00000000-0005-0000-0000-00008E070000}"/>
    <cellStyle name="Millares 26 2 2 2 2" xfId="2721" xr:uid="{00000000-0005-0000-0000-00008F070000}"/>
    <cellStyle name="Millares 26 2 2 2 2 2" xfId="4303" xr:uid="{00000000-0005-0000-0000-000090070000}"/>
    <cellStyle name="Millares 26 2 2 2 3" xfId="1930" xr:uid="{00000000-0005-0000-0000-000091070000}"/>
    <cellStyle name="Millares 26 2 2 2 4" xfId="3512" xr:uid="{00000000-0005-0000-0000-000092070000}"/>
    <cellStyle name="Millares 26 2 2 3" xfId="2327" xr:uid="{00000000-0005-0000-0000-000093070000}"/>
    <cellStyle name="Millares 26 2 2 3 2" xfId="3909" xr:uid="{00000000-0005-0000-0000-000094070000}"/>
    <cellStyle name="Millares 26 2 2 4" xfId="1536" xr:uid="{00000000-0005-0000-0000-000095070000}"/>
    <cellStyle name="Millares 26 2 2 5" xfId="3118" xr:uid="{00000000-0005-0000-0000-000096070000}"/>
    <cellStyle name="Millares 26 2 3" xfId="917" xr:uid="{00000000-0005-0000-0000-000097070000}"/>
    <cellStyle name="Millares 26 2 3 2" xfId="2500" xr:uid="{00000000-0005-0000-0000-000098070000}"/>
    <cellStyle name="Millares 26 2 3 2 2" xfId="4082" xr:uid="{00000000-0005-0000-0000-000099070000}"/>
    <cellStyle name="Millares 26 2 3 3" xfId="1709" xr:uid="{00000000-0005-0000-0000-00009A070000}"/>
    <cellStyle name="Millares 26 2 3 4" xfId="3291" xr:uid="{00000000-0005-0000-0000-00009B070000}"/>
    <cellStyle name="Millares 26 2 4" xfId="2106" xr:uid="{00000000-0005-0000-0000-00009C070000}"/>
    <cellStyle name="Millares 26 2 4 2" xfId="3688" xr:uid="{00000000-0005-0000-0000-00009D070000}"/>
    <cellStyle name="Millares 26 2 5" xfId="1315" xr:uid="{00000000-0005-0000-0000-00009E070000}"/>
    <cellStyle name="Millares 26 2 6" xfId="2897" xr:uid="{00000000-0005-0000-0000-00009F070000}"/>
    <cellStyle name="Millares 26 3" xfId="587" xr:uid="{00000000-0005-0000-0000-0000A0070000}"/>
    <cellStyle name="Millares 26 3 2" xfId="994" xr:uid="{00000000-0005-0000-0000-0000A1070000}"/>
    <cellStyle name="Millares 26 3 2 2" xfId="2577" xr:uid="{00000000-0005-0000-0000-0000A2070000}"/>
    <cellStyle name="Millares 26 3 2 2 2" xfId="4159" xr:uid="{00000000-0005-0000-0000-0000A3070000}"/>
    <cellStyle name="Millares 26 3 2 3" xfId="1786" xr:uid="{00000000-0005-0000-0000-0000A4070000}"/>
    <cellStyle name="Millares 26 3 2 4" xfId="3368" xr:uid="{00000000-0005-0000-0000-0000A5070000}"/>
    <cellStyle name="Millares 26 3 3" xfId="2183" xr:uid="{00000000-0005-0000-0000-0000A6070000}"/>
    <cellStyle name="Millares 26 3 3 2" xfId="3765" xr:uid="{00000000-0005-0000-0000-0000A7070000}"/>
    <cellStyle name="Millares 26 3 4" xfId="1392" xr:uid="{00000000-0005-0000-0000-0000A8070000}"/>
    <cellStyle name="Millares 26 3 5" xfId="2974" xr:uid="{00000000-0005-0000-0000-0000A9070000}"/>
    <cellStyle name="Millares 26 4" xfId="662" xr:uid="{00000000-0005-0000-0000-0000AA070000}"/>
    <cellStyle name="Millares 26 4 2" xfId="1062" xr:uid="{00000000-0005-0000-0000-0000AB070000}"/>
    <cellStyle name="Millares 26 4 2 2" xfId="2645" xr:uid="{00000000-0005-0000-0000-0000AC070000}"/>
    <cellStyle name="Millares 26 4 2 2 2" xfId="4227" xr:uid="{00000000-0005-0000-0000-0000AD070000}"/>
    <cellStyle name="Millares 26 4 2 3" xfId="1854" xr:uid="{00000000-0005-0000-0000-0000AE070000}"/>
    <cellStyle name="Millares 26 4 2 4" xfId="3436" xr:uid="{00000000-0005-0000-0000-0000AF070000}"/>
    <cellStyle name="Millares 26 4 3" xfId="2251" xr:uid="{00000000-0005-0000-0000-0000B0070000}"/>
    <cellStyle name="Millares 26 4 3 2" xfId="3833" xr:uid="{00000000-0005-0000-0000-0000B1070000}"/>
    <cellStyle name="Millares 26 4 4" xfId="1460" xr:uid="{00000000-0005-0000-0000-0000B2070000}"/>
    <cellStyle name="Millares 26 4 5" xfId="3042" xr:uid="{00000000-0005-0000-0000-0000B3070000}"/>
    <cellStyle name="Millares 26 5" xfId="841" xr:uid="{00000000-0005-0000-0000-0000B4070000}"/>
    <cellStyle name="Millares 26 5 2" xfId="2424" xr:uid="{00000000-0005-0000-0000-0000B5070000}"/>
    <cellStyle name="Millares 26 5 2 2" xfId="4006" xr:uid="{00000000-0005-0000-0000-0000B6070000}"/>
    <cellStyle name="Millares 26 5 3" xfId="1633" xr:uid="{00000000-0005-0000-0000-0000B7070000}"/>
    <cellStyle name="Millares 26 5 4" xfId="3215" xr:uid="{00000000-0005-0000-0000-0000B8070000}"/>
    <cellStyle name="Millares 26 6" xfId="2030" xr:uid="{00000000-0005-0000-0000-0000B9070000}"/>
    <cellStyle name="Millares 26 6 2" xfId="3612" xr:uid="{00000000-0005-0000-0000-0000BA070000}"/>
    <cellStyle name="Millares 26 7" xfId="1239" xr:uid="{00000000-0005-0000-0000-0000BB070000}"/>
    <cellStyle name="Millares 26 8" xfId="2821" xr:uid="{00000000-0005-0000-0000-0000BC070000}"/>
    <cellStyle name="Millares 27" xfId="368" xr:uid="{00000000-0005-0000-0000-0000BD070000}"/>
    <cellStyle name="Millares 27 2" xfId="486" xr:uid="{00000000-0005-0000-0000-0000BE070000}"/>
    <cellStyle name="Millares 27 2 2" xfId="714" xr:uid="{00000000-0005-0000-0000-0000BF070000}"/>
    <cellStyle name="Millares 27 2 2 2" xfId="1114" xr:uid="{00000000-0005-0000-0000-0000C0070000}"/>
    <cellStyle name="Millares 27 2 2 2 2" xfId="2697" xr:uid="{00000000-0005-0000-0000-0000C1070000}"/>
    <cellStyle name="Millares 27 2 2 2 2 2" xfId="4279" xr:uid="{00000000-0005-0000-0000-0000C2070000}"/>
    <cellStyle name="Millares 27 2 2 2 3" xfId="1906" xr:uid="{00000000-0005-0000-0000-0000C3070000}"/>
    <cellStyle name="Millares 27 2 2 2 4" xfId="3488" xr:uid="{00000000-0005-0000-0000-0000C4070000}"/>
    <cellStyle name="Millares 27 2 2 3" xfId="2303" xr:uid="{00000000-0005-0000-0000-0000C5070000}"/>
    <cellStyle name="Millares 27 2 2 3 2" xfId="3885" xr:uid="{00000000-0005-0000-0000-0000C6070000}"/>
    <cellStyle name="Millares 27 2 2 4" xfId="1512" xr:uid="{00000000-0005-0000-0000-0000C7070000}"/>
    <cellStyle name="Millares 27 2 2 5" xfId="3094" xr:uid="{00000000-0005-0000-0000-0000C8070000}"/>
    <cellStyle name="Millares 27 2 3" xfId="893" xr:uid="{00000000-0005-0000-0000-0000C9070000}"/>
    <cellStyle name="Millares 27 2 3 2" xfId="2476" xr:uid="{00000000-0005-0000-0000-0000CA070000}"/>
    <cellStyle name="Millares 27 2 3 2 2" xfId="4058" xr:uid="{00000000-0005-0000-0000-0000CB070000}"/>
    <cellStyle name="Millares 27 2 3 3" xfId="1685" xr:uid="{00000000-0005-0000-0000-0000CC070000}"/>
    <cellStyle name="Millares 27 2 3 4" xfId="3267" xr:uid="{00000000-0005-0000-0000-0000CD070000}"/>
    <cellStyle name="Millares 27 2 4" xfId="2082" xr:uid="{00000000-0005-0000-0000-0000CE070000}"/>
    <cellStyle name="Millares 27 2 4 2" xfId="3664" xr:uid="{00000000-0005-0000-0000-0000CF070000}"/>
    <cellStyle name="Millares 27 2 5" xfId="1291" xr:uid="{00000000-0005-0000-0000-0000D0070000}"/>
    <cellStyle name="Millares 27 2 6" xfId="2873" xr:uid="{00000000-0005-0000-0000-0000D1070000}"/>
    <cellStyle name="Millares 27 3" xfId="563" xr:uid="{00000000-0005-0000-0000-0000D2070000}"/>
    <cellStyle name="Millares 27 3 2" xfId="970" xr:uid="{00000000-0005-0000-0000-0000D3070000}"/>
    <cellStyle name="Millares 27 3 2 2" xfId="2553" xr:uid="{00000000-0005-0000-0000-0000D4070000}"/>
    <cellStyle name="Millares 27 3 2 2 2" xfId="4135" xr:uid="{00000000-0005-0000-0000-0000D5070000}"/>
    <cellStyle name="Millares 27 3 2 3" xfId="1762" xr:uid="{00000000-0005-0000-0000-0000D6070000}"/>
    <cellStyle name="Millares 27 3 2 4" xfId="3344" xr:uid="{00000000-0005-0000-0000-0000D7070000}"/>
    <cellStyle name="Millares 27 3 3" xfId="2159" xr:uid="{00000000-0005-0000-0000-0000D8070000}"/>
    <cellStyle name="Millares 27 3 3 2" xfId="3741" xr:uid="{00000000-0005-0000-0000-0000D9070000}"/>
    <cellStyle name="Millares 27 3 4" xfId="1368" xr:uid="{00000000-0005-0000-0000-0000DA070000}"/>
    <cellStyle name="Millares 27 3 5" xfId="2950" xr:uid="{00000000-0005-0000-0000-0000DB070000}"/>
    <cellStyle name="Millares 27 4" xfId="638" xr:uid="{00000000-0005-0000-0000-0000DC070000}"/>
    <cellStyle name="Millares 27 4 2" xfId="1038" xr:uid="{00000000-0005-0000-0000-0000DD070000}"/>
    <cellStyle name="Millares 27 4 2 2" xfId="2621" xr:uid="{00000000-0005-0000-0000-0000DE070000}"/>
    <cellStyle name="Millares 27 4 2 2 2" xfId="4203" xr:uid="{00000000-0005-0000-0000-0000DF070000}"/>
    <cellStyle name="Millares 27 4 2 3" xfId="1830" xr:uid="{00000000-0005-0000-0000-0000E0070000}"/>
    <cellStyle name="Millares 27 4 2 4" xfId="3412" xr:uid="{00000000-0005-0000-0000-0000E1070000}"/>
    <cellStyle name="Millares 27 4 3" xfId="2227" xr:uid="{00000000-0005-0000-0000-0000E2070000}"/>
    <cellStyle name="Millares 27 4 3 2" xfId="3809" xr:uid="{00000000-0005-0000-0000-0000E3070000}"/>
    <cellStyle name="Millares 27 4 4" xfId="1436" xr:uid="{00000000-0005-0000-0000-0000E4070000}"/>
    <cellStyle name="Millares 27 4 5" xfId="3018" xr:uid="{00000000-0005-0000-0000-0000E5070000}"/>
    <cellStyle name="Millares 27 5" xfId="817" xr:uid="{00000000-0005-0000-0000-0000E6070000}"/>
    <cellStyle name="Millares 27 5 2" xfId="2400" xr:uid="{00000000-0005-0000-0000-0000E7070000}"/>
    <cellStyle name="Millares 27 5 2 2" xfId="3982" xr:uid="{00000000-0005-0000-0000-0000E8070000}"/>
    <cellStyle name="Millares 27 5 3" xfId="1609" xr:uid="{00000000-0005-0000-0000-0000E9070000}"/>
    <cellStyle name="Millares 27 5 4" xfId="3191" xr:uid="{00000000-0005-0000-0000-0000EA070000}"/>
    <cellStyle name="Millares 27 6" xfId="2006" xr:uid="{00000000-0005-0000-0000-0000EB070000}"/>
    <cellStyle name="Millares 27 6 2" xfId="3588" xr:uid="{00000000-0005-0000-0000-0000EC070000}"/>
    <cellStyle name="Millares 27 7" xfId="1215" xr:uid="{00000000-0005-0000-0000-0000ED070000}"/>
    <cellStyle name="Millares 27 8" xfId="2797" xr:uid="{00000000-0005-0000-0000-0000EE070000}"/>
    <cellStyle name="Millares 28" xfId="346" xr:uid="{00000000-0005-0000-0000-0000EF070000}"/>
    <cellStyle name="Millares 28 2" xfId="467" xr:uid="{00000000-0005-0000-0000-0000F0070000}"/>
    <cellStyle name="Millares 28 2 2" xfId="695" xr:uid="{00000000-0005-0000-0000-0000F1070000}"/>
    <cellStyle name="Millares 28 2 2 2" xfId="1095" xr:uid="{00000000-0005-0000-0000-0000F2070000}"/>
    <cellStyle name="Millares 28 2 2 2 2" xfId="2678" xr:uid="{00000000-0005-0000-0000-0000F3070000}"/>
    <cellStyle name="Millares 28 2 2 2 2 2" xfId="4260" xr:uid="{00000000-0005-0000-0000-0000F4070000}"/>
    <cellStyle name="Millares 28 2 2 2 3" xfId="1887" xr:uid="{00000000-0005-0000-0000-0000F5070000}"/>
    <cellStyle name="Millares 28 2 2 2 4" xfId="3469" xr:uid="{00000000-0005-0000-0000-0000F6070000}"/>
    <cellStyle name="Millares 28 2 2 3" xfId="2284" xr:uid="{00000000-0005-0000-0000-0000F7070000}"/>
    <cellStyle name="Millares 28 2 2 3 2" xfId="3866" xr:uid="{00000000-0005-0000-0000-0000F8070000}"/>
    <cellStyle name="Millares 28 2 2 4" xfId="1493" xr:uid="{00000000-0005-0000-0000-0000F9070000}"/>
    <cellStyle name="Millares 28 2 2 5" xfId="3075" xr:uid="{00000000-0005-0000-0000-0000FA070000}"/>
    <cellStyle name="Millares 28 2 3" xfId="874" xr:uid="{00000000-0005-0000-0000-0000FB070000}"/>
    <cellStyle name="Millares 28 2 3 2" xfId="2457" xr:uid="{00000000-0005-0000-0000-0000FC070000}"/>
    <cellStyle name="Millares 28 2 3 2 2" xfId="4039" xr:uid="{00000000-0005-0000-0000-0000FD070000}"/>
    <cellStyle name="Millares 28 2 3 3" xfId="1666" xr:uid="{00000000-0005-0000-0000-0000FE070000}"/>
    <cellStyle name="Millares 28 2 3 4" xfId="3248" xr:uid="{00000000-0005-0000-0000-0000FF070000}"/>
    <cellStyle name="Millares 28 2 4" xfId="2063" xr:uid="{00000000-0005-0000-0000-000000080000}"/>
    <cellStyle name="Millares 28 2 4 2" xfId="3645" xr:uid="{00000000-0005-0000-0000-000001080000}"/>
    <cellStyle name="Millares 28 2 5" xfId="1272" xr:uid="{00000000-0005-0000-0000-000002080000}"/>
    <cellStyle name="Millares 28 2 6" xfId="2854" xr:uid="{00000000-0005-0000-0000-000003080000}"/>
    <cellStyle name="Millares 28 3" xfId="544" xr:uid="{00000000-0005-0000-0000-000004080000}"/>
    <cellStyle name="Millares 28 3 2" xfId="951" xr:uid="{00000000-0005-0000-0000-000005080000}"/>
    <cellStyle name="Millares 28 3 2 2" xfId="2534" xr:uid="{00000000-0005-0000-0000-000006080000}"/>
    <cellStyle name="Millares 28 3 2 2 2" xfId="4116" xr:uid="{00000000-0005-0000-0000-000007080000}"/>
    <cellStyle name="Millares 28 3 2 3" xfId="1743" xr:uid="{00000000-0005-0000-0000-000008080000}"/>
    <cellStyle name="Millares 28 3 2 4" xfId="3325" xr:uid="{00000000-0005-0000-0000-000009080000}"/>
    <cellStyle name="Millares 28 3 3" xfId="2140" xr:uid="{00000000-0005-0000-0000-00000A080000}"/>
    <cellStyle name="Millares 28 3 3 2" xfId="3722" xr:uid="{00000000-0005-0000-0000-00000B080000}"/>
    <cellStyle name="Millares 28 3 4" xfId="1349" xr:uid="{00000000-0005-0000-0000-00000C080000}"/>
    <cellStyle name="Millares 28 3 5" xfId="2931" xr:uid="{00000000-0005-0000-0000-00000D080000}"/>
    <cellStyle name="Millares 28 4" xfId="619" xr:uid="{00000000-0005-0000-0000-00000E080000}"/>
    <cellStyle name="Millares 28 4 2" xfId="1019" xr:uid="{00000000-0005-0000-0000-00000F080000}"/>
    <cellStyle name="Millares 28 4 2 2" xfId="2602" xr:uid="{00000000-0005-0000-0000-000010080000}"/>
    <cellStyle name="Millares 28 4 2 2 2" xfId="4184" xr:uid="{00000000-0005-0000-0000-000011080000}"/>
    <cellStyle name="Millares 28 4 2 3" xfId="1811" xr:uid="{00000000-0005-0000-0000-000012080000}"/>
    <cellStyle name="Millares 28 4 2 4" xfId="3393" xr:uid="{00000000-0005-0000-0000-000013080000}"/>
    <cellStyle name="Millares 28 4 3" xfId="2208" xr:uid="{00000000-0005-0000-0000-000014080000}"/>
    <cellStyle name="Millares 28 4 3 2" xfId="3790" xr:uid="{00000000-0005-0000-0000-000015080000}"/>
    <cellStyle name="Millares 28 4 4" xfId="1417" xr:uid="{00000000-0005-0000-0000-000016080000}"/>
    <cellStyle name="Millares 28 4 5" xfId="2999" xr:uid="{00000000-0005-0000-0000-000017080000}"/>
    <cellStyle name="Millares 28 5" xfId="798" xr:uid="{00000000-0005-0000-0000-000018080000}"/>
    <cellStyle name="Millares 28 5 2" xfId="2381" xr:uid="{00000000-0005-0000-0000-000019080000}"/>
    <cellStyle name="Millares 28 5 2 2" xfId="3963" xr:uid="{00000000-0005-0000-0000-00001A080000}"/>
    <cellStyle name="Millares 28 5 3" xfId="1590" xr:uid="{00000000-0005-0000-0000-00001B080000}"/>
    <cellStyle name="Millares 28 5 4" xfId="3172" xr:uid="{00000000-0005-0000-0000-00001C080000}"/>
    <cellStyle name="Millares 28 6" xfId="1987" xr:uid="{00000000-0005-0000-0000-00001D080000}"/>
    <cellStyle name="Millares 28 6 2" xfId="3569" xr:uid="{00000000-0005-0000-0000-00001E080000}"/>
    <cellStyle name="Millares 28 7" xfId="1196" xr:uid="{00000000-0005-0000-0000-00001F080000}"/>
    <cellStyle name="Millares 28 8" xfId="2778" xr:uid="{00000000-0005-0000-0000-000020080000}"/>
    <cellStyle name="Millares 29" xfId="362" xr:uid="{00000000-0005-0000-0000-000021080000}"/>
    <cellStyle name="Millares 29 2" xfId="480" xr:uid="{00000000-0005-0000-0000-000022080000}"/>
    <cellStyle name="Millares 29 2 2" xfId="708" xr:uid="{00000000-0005-0000-0000-000023080000}"/>
    <cellStyle name="Millares 29 2 2 2" xfId="1108" xr:uid="{00000000-0005-0000-0000-000024080000}"/>
    <cellStyle name="Millares 29 2 2 2 2" xfId="2691" xr:uid="{00000000-0005-0000-0000-000025080000}"/>
    <cellStyle name="Millares 29 2 2 2 2 2" xfId="4273" xr:uid="{00000000-0005-0000-0000-000026080000}"/>
    <cellStyle name="Millares 29 2 2 2 3" xfId="1900" xr:uid="{00000000-0005-0000-0000-000027080000}"/>
    <cellStyle name="Millares 29 2 2 2 4" xfId="3482" xr:uid="{00000000-0005-0000-0000-000028080000}"/>
    <cellStyle name="Millares 29 2 2 3" xfId="2297" xr:uid="{00000000-0005-0000-0000-000029080000}"/>
    <cellStyle name="Millares 29 2 2 3 2" xfId="3879" xr:uid="{00000000-0005-0000-0000-00002A080000}"/>
    <cellStyle name="Millares 29 2 2 4" xfId="1506" xr:uid="{00000000-0005-0000-0000-00002B080000}"/>
    <cellStyle name="Millares 29 2 2 5" xfId="3088" xr:uid="{00000000-0005-0000-0000-00002C080000}"/>
    <cellStyle name="Millares 29 2 3" xfId="887" xr:uid="{00000000-0005-0000-0000-00002D080000}"/>
    <cellStyle name="Millares 29 2 3 2" xfId="2470" xr:uid="{00000000-0005-0000-0000-00002E080000}"/>
    <cellStyle name="Millares 29 2 3 2 2" xfId="4052" xr:uid="{00000000-0005-0000-0000-00002F080000}"/>
    <cellStyle name="Millares 29 2 3 3" xfId="1679" xr:uid="{00000000-0005-0000-0000-000030080000}"/>
    <cellStyle name="Millares 29 2 3 4" xfId="3261" xr:uid="{00000000-0005-0000-0000-000031080000}"/>
    <cellStyle name="Millares 29 2 4" xfId="2076" xr:uid="{00000000-0005-0000-0000-000032080000}"/>
    <cellStyle name="Millares 29 2 4 2" xfId="3658" xr:uid="{00000000-0005-0000-0000-000033080000}"/>
    <cellStyle name="Millares 29 2 5" xfId="1285" xr:uid="{00000000-0005-0000-0000-000034080000}"/>
    <cellStyle name="Millares 29 2 6" xfId="2867" xr:uid="{00000000-0005-0000-0000-000035080000}"/>
    <cellStyle name="Millares 29 3" xfId="557" xr:uid="{00000000-0005-0000-0000-000036080000}"/>
    <cellStyle name="Millares 29 3 2" xfId="964" xr:uid="{00000000-0005-0000-0000-000037080000}"/>
    <cellStyle name="Millares 29 3 2 2" xfId="2547" xr:uid="{00000000-0005-0000-0000-000038080000}"/>
    <cellStyle name="Millares 29 3 2 2 2" xfId="4129" xr:uid="{00000000-0005-0000-0000-000039080000}"/>
    <cellStyle name="Millares 29 3 2 3" xfId="1756" xr:uid="{00000000-0005-0000-0000-00003A080000}"/>
    <cellStyle name="Millares 29 3 2 4" xfId="3338" xr:uid="{00000000-0005-0000-0000-00003B080000}"/>
    <cellStyle name="Millares 29 3 3" xfId="2153" xr:uid="{00000000-0005-0000-0000-00003C080000}"/>
    <cellStyle name="Millares 29 3 3 2" xfId="3735" xr:uid="{00000000-0005-0000-0000-00003D080000}"/>
    <cellStyle name="Millares 29 3 4" xfId="1362" xr:uid="{00000000-0005-0000-0000-00003E080000}"/>
    <cellStyle name="Millares 29 3 5" xfId="2944" xr:uid="{00000000-0005-0000-0000-00003F080000}"/>
    <cellStyle name="Millares 29 4" xfId="632" xr:uid="{00000000-0005-0000-0000-000040080000}"/>
    <cellStyle name="Millares 29 4 2" xfId="1032" xr:uid="{00000000-0005-0000-0000-000041080000}"/>
    <cellStyle name="Millares 29 4 2 2" xfId="2615" xr:uid="{00000000-0005-0000-0000-000042080000}"/>
    <cellStyle name="Millares 29 4 2 2 2" xfId="4197" xr:uid="{00000000-0005-0000-0000-000043080000}"/>
    <cellStyle name="Millares 29 4 2 3" xfId="1824" xr:uid="{00000000-0005-0000-0000-000044080000}"/>
    <cellStyle name="Millares 29 4 2 4" xfId="3406" xr:uid="{00000000-0005-0000-0000-000045080000}"/>
    <cellStyle name="Millares 29 4 3" xfId="2221" xr:uid="{00000000-0005-0000-0000-000046080000}"/>
    <cellStyle name="Millares 29 4 3 2" xfId="3803" xr:uid="{00000000-0005-0000-0000-000047080000}"/>
    <cellStyle name="Millares 29 4 4" xfId="1430" xr:uid="{00000000-0005-0000-0000-000048080000}"/>
    <cellStyle name="Millares 29 4 5" xfId="3012" xr:uid="{00000000-0005-0000-0000-000049080000}"/>
    <cellStyle name="Millares 29 5" xfId="811" xr:uid="{00000000-0005-0000-0000-00004A080000}"/>
    <cellStyle name="Millares 29 5 2" xfId="2394" xr:uid="{00000000-0005-0000-0000-00004B080000}"/>
    <cellStyle name="Millares 29 5 2 2" xfId="3976" xr:uid="{00000000-0005-0000-0000-00004C080000}"/>
    <cellStyle name="Millares 29 5 3" xfId="1603" xr:uid="{00000000-0005-0000-0000-00004D080000}"/>
    <cellStyle name="Millares 29 5 4" xfId="3185" xr:uid="{00000000-0005-0000-0000-00004E080000}"/>
    <cellStyle name="Millares 29 6" xfId="2000" xr:uid="{00000000-0005-0000-0000-00004F080000}"/>
    <cellStyle name="Millares 29 6 2" xfId="3582" xr:uid="{00000000-0005-0000-0000-000050080000}"/>
    <cellStyle name="Millares 29 7" xfId="1209" xr:uid="{00000000-0005-0000-0000-000051080000}"/>
    <cellStyle name="Millares 29 8" xfId="2791" xr:uid="{00000000-0005-0000-0000-000052080000}"/>
    <cellStyle name="Millares 3" xfId="12" xr:uid="{00000000-0005-0000-0000-000053080000}"/>
    <cellStyle name="Millares 3 10" xfId="1967" xr:uid="{00000000-0005-0000-0000-000054080000}"/>
    <cellStyle name="Millares 3 10 2" xfId="3549" xr:uid="{00000000-0005-0000-0000-000055080000}"/>
    <cellStyle name="Millares 3 11" xfId="1176" xr:uid="{00000000-0005-0000-0000-000056080000}"/>
    <cellStyle name="Millares 3 12" xfId="2758" xr:uid="{00000000-0005-0000-0000-000057080000}"/>
    <cellStyle name="Millares 3 13" xfId="293" xr:uid="{00000000-0005-0000-0000-000058080000}"/>
    <cellStyle name="Millares 3 14" xfId="4621" xr:uid="{EA1114A1-AA63-45F8-AE40-00BCB816A9EA}"/>
    <cellStyle name="Millares 3 14 2" xfId="4998" xr:uid="{1B8CCF62-44BE-4DBB-96FA-98AC183850E4}"/>
    <cellStyle name="Millares 3 15" xfId="4383" xr:uid="{9F681821-9351-44C2-BD73-110AA76F04A0}"/>
    <cellStyle name="Millares 3 2" xfId="4" xr:uid="{00000000-0005-0000-0000-000059080000}"/>
    <cellStyle name="Millares 3 2 10" xfId="1181" xr:uid="{00000000-0005-0000-0000-00005A080000}"/>
    <cellStyle name="Millares 3 2 11" xfId="2763" xr:uid="{00000000-0005-0000-0000-00005B080000}"/>
    <cellStyle name="Millares 3 2 12" xfId="300" xr:uid="{00000000-0005-0000-0000-00005C080000}"/>
    <cellStyle name="Millares 3 2 13" xfId="4648" xr:uid="{4E4D6CF1-10EF-46B1-A04F-C11D8CFAC911}"/>
    <cellStyle name="Millares 3 2 13 2" xfId="5021" xr:uid="{D5093C95-0FE1-4AEF-9AA0-214B65BD2493}"/>
    <cellStyle name="Millares 3 2 14" xfId="4415" xr:uid="{10EA1F64-63CD-4DA4-96C0-EA043EC38957}"/>
    <cellStyle name="Millares 3 2 2" xfId="319" xr:uid="{00000000-0005-0000-0000-00005D080000}"/>
    <cellStyle name="Millares 3 2 2 10" xfId="2776" xr:uid="{00000000-0005-0000-0000-00005E080000}"/>
    <cellStyle name="Millares 3 2 2 11" xfId="4591" xr:uid="{3C1DB0E8-73DC-4D14-A65D-C1840E6D7499}"/>
    <cellStyle name="Millares 3 2 2 12" xfId="4441" xr:uid="{E56AA445-0004-4730-868E-060E8FFF399C}"/>
    <cellStyle name="Millares 3 2 2 2" xfId="397" xr:uid="{00000000-0005-0000-0000-00005F080000}"/>
    <cellStyle name="Millares 3 2 2 2 10" xfId="4466" xr:uid="{86A11749-E63B-46CC-AAE6-B58A4E1506E1}"/>
    <cellStyle name="Millares 3 2 2 2 2" xfId="506" xr:uid="{00000000-0005-0000-0000-000060080000}"/>
    <cellStyle name="Millares 3 2 2 2 2 2" xfId="734" xr:uid="{00000000-0005-0000-0000-000061080000}"/>
    <cellStyle name="Millares 3 2 2 2 2 2 2" xfId="1134" xr:uid="{00000000-0005-0000-0000-000062080000}"/>
    <cellStyle name="Millares 3 2 2 2 2 2 2 2" xfId="2717" xr:uid="{00000000-0005-0000-0000-000063080000}"/>
    <cellStyle name="Millares 3 2 2 2 2 2 2 2 2" xfId="4299" xr:uid="{00000000-0005-0000-0000-000064080000}"/>
    <cellStyle name="Millares 3 2 2 2 2 2 2 3" xfId="1926" xr:uid="{00000000-0005-0000-0000-000065080000}"/>
    <cellStyle name="Millares 3 2 2 2 2 2 2 4" xfId="3508" xr:uid="{00000000-0005-0000-0000-000066080000}"/>
    <cellStyle name="Millares 3 2 2 2 2 2 3" xfId="2323" xr:uid="{00000000-0005-0000-0000-000067080000}"/>
    <cellStyle name="Millares 3 2 2 2 2 2 3 2" xfId="3905" xr:uid="{00000000-0005-0000-0000-000068080000}"/>
    <cellStyle name="Millares 3 2 2 2 2 2 4" xfId="1532" xr:uid="{00000000-0005-0000-0000-000069080000}"/>
    <cellStyle name="Millares 3 2 2 2 2 2 5" xfId="3114" xr:uid="{00000000-0005-0000-0000-00006A080000}"/>
    <cellStyle name="Millares 3 2 2 2 2 3" xfId="913" xr:uid="{00000000-0005-0000-0000-00006B080000}"/>
    <cellStyle name="Millares 3 2 2 2 2 3 2" xfId="2496" xr:uid="{00000000-0005-0000-0000-00006C080000}"/>
    <cellStyle name="Millares 3 2 2 2 2 3 2 2" xfId="4078" xr:uid="{00000000-0005-0000-0000-00006D080000}"/>
    <cellStyle name="Millares 3 2 2 2 2 3 3" xfId="1705" xr:uid="{00000000-0005-0000-0000-00006E080000}"/>
    <cellStyle name="Millares 3 2 2 2 2 3 4" xfId="3287" xr:uid="{00000000-0005-0000-0000-00006F080000}"/>
    <cellStyle name="Millares 3 2 2 2 2 4" xfId="2102" xr:uid="{00000000-0005-0000-0000-000070080000}"/>
    <cellStyle name="Millares 3 2 2 2 2 4 2" xfId="3684" xr:uid="{00000000-0005-0000-0000-000071080000}"/>
    <cellStyle name="Millares 3 2 2 2 2 5" xfId="1311" xr:uid="{00000000-0005-0000-0000-000072080000}"/>
    <cellStyle name="Millares 3 2 2 2 2 6" xfId="2893" xr:uid="{00000000-0005-0000-0000-000073080000}"/>
    <cellStyle name="Millares 3 2 2 2 3" xfId="583" xr:uid="{00000000-0005-0000-0000-000074080000}"/>
    <cellStyle name="Millares 3 2 2 2 3 2" xfId="990" xr:uid="{00000000-0005-0000-0000-000075080000}"/>
    <cellStyle name="Millares 3 2 2 2 3 2 2" xfId="2573" xr:uid="{00000000-0005-0000-0000-000076080000}"/>
    <cellStyle name="Millares 3 2 2 2 3 2 2 2" xfId="4155" xr:uid="{00000000-0005-0000-0000-000077080000}"/>
    <cellStyle name="Millares 3 2 2 2 3 2 3" xfId="1782" xr:uid="{00000000-0005-0000-0000-000078080000}"/>
    <cellStyle name="Millares 3 2 2 2 3 2 4" xfId="3364" xr:uid="{00000000-0005-0000-0000-000079080000}"/>
    <cellStyle name="Millares 3 2 2 2 3 3" xfId="2179" xr:uid="{00000000-0005-0000-0000-00007A080000}"/>
    <cellStyle name="Millares 3 2 2 2 3 3 2" xfId="3761" xr:uid="{00000000-0005-0000-0000-00007B080000}"/>
    <cellStyle name="Millares 3 2 2 2 3 4" xfId="1388" xr:uid="{00000000-0005-0000-0000-00007C080000}"/>
    <cellStyle name="Millares 3 2 2 2 3 5" xfId="2970" xr:uid="{00000000-0005-0000-0000-00007D080000}"/>
    <cellStyle name="Millares 3 2 2 2 4" xfId="658" xr:uid="{00000000-0005-0000-0000-00007E080000}"/>
    <cellStyle name="Millares 3 2 2 2 4 2" xfId="1058" xr:uid="{00000000-0005-0000-0000-00007F080000}"/>
    <cellStyle name="Millares 3 2 2 2 4 2 2" xfId="2641" xr:uid="{00000000-0005-0000-0000-000080080000}"/>
    <cellStyle name="Millares 3 2 2 2 4 2 2 2" xfId="4223" xr:uid="{00000000-0005-0000-0000-000081080000}"/>
    <cellStyle name="Millares 3 2 2 2 4 2 3" xfId="1850" xr:uid="{00000000-0005-0000-0000-000082080000}"/>
    <cellStyle name="Millares 3 2 2 2 4 2 4" xfId="3432" xr:uid="{00000000-0005-0000-0000-000083080000}"/>
    <cellStyle name="Millares 3 2 2 2 4 3" xfId="2247" xr:uid="{00000000-0005-0000-0000-000084080000}"/>
    <cellStyle name="Millares 3 2 2 2 4 3 2" xfId="3829" xr:uid="{00000000-0005-0000-0000-000085080000}"/>
    <cellStyle name="Millares 3 2 2 2 4 4" xfId="1456" xr:uid="{00000000-0005-0000-0000-000086080000}"/>
    <cellStyle name="Millares 3 2 2 2 4 5" xfId="3038" xr:uid="{00000000-0005-0000-0000-000087080000}"/>
    <cellStyle name="Millares 3 2 2 2 5" xfId="837" xr:uid="{00000000-0005-0000-0000-000088080000}"/>
    <cellStyle name="Millares 3 2 2 2 5 2" xfId="2420" xr:uid="{00000000-0005-0000-0000-000089080000}"/>
    <cellStyle name="Millares 3 2 2 2 5 2 2" xfId="4002" xr:uid="{00000000-0005-0000-0000-00008A080000}"/>
    <cellStyle name="Millares 3 2 2 2 5 3" xfId="1629" xr:uid="{00000000-0005-0000-0000-00008B080000}"/>
    <cellStyle name="Millares 3 2 2 2 5 4" xfId="3211" xr:uid="{00000000-0005-0000-0000-00008C080000}"/>
    <cellStyle name="Millares 3 2 2 2 6" xfId="2026" xr:uid="{00000000-0005-0000-0000-00008D080000}"/>
    <cellStyle name="Millares 3 2 2 2 6 2" xfId="3608" xr:uid="{00000000-0005-0000-0000-00008E080000}"/>
    <cellStyle name="Millares 3 2 2 2 7" xfId="1235" xr:uid="{00000000-0005-0000-0000-00008F080000}"/>
    <cellStyle name="Millares 3 2 2 2 8" xfId="2817" xr:uid="{00000000-0005-0000-0000-000090080000}"/>
    <cellStyle name="Millares 3 2 2 2 9" xfId="4592" xr:uid="{547A2AAA-490C-44F8-A08F-9C05B5455208}"/>
    <cellStyle name="Millares 3 2 2 3" xfId="465" xr:uid="{00000000-0005-0000-0000-000091080000}"/>
    <cellStyle name="Millares 3 2 2 3 2" xfId="693" xr:uid="{00000000-0005-0000-0000-000092080000}"/>
    <cellStyle name="Millares 3 2 2 3 2 2" xfId="1093" xr:uid="{00000000-0005-0000-0000-000093080000}"/>
    <cellStyle name="Millares 3 2 2 3 2 2 2" xfId="2676" xr:uid="{00000000-0005-0000-0000-000094080000}"/>
    <cellStyle name="Millares 3 2 2 3 2 2 2 2" xfId="4258" xr:uid="{00000000-0005-0000-0000-000095080000}"/>
    <cellStyle name="Millares 3 2 2 3 2 2 3" xfId="1885" xr:uid="{00000000-0005-0000-0000-000096080000}"/>
    <cellStyle name="Millares 3 2 2 3 2 2 4" xfId="3467" xr:uid="{00000000-0005-0000-0000-000097080000}"/>
    <cellStyle name="Millares 3 2 2 3 2 3" xfId="2282" xr:uid="{00000000-0005-0000-0000-000098080000}"/>
    <cellStyle name="Millares 3 2 2 3 2 3 2" xfId="3864" xr:uid="{00000000-0005-0000-0000-000099080000}"/>
    <cellStyle name="Millares 3 2 2 3 2 4" xfId="1491" xr:uid="{00000000-0005-0000-0000-00009A080000}"/>
    <cellStyle name="Millares 3 2 2 3 2 5" xfId="3073" xr:uid="{00000000-0005-0000-0000-00009B080000}"/>
    <cellStyle name="Millares 3 2 2 3 3" xfId="872" xr:uid="{00000000-0005-0000-0000-00009C080000}"/>
    <cellStyle name="Millares 3 2 2 3 3 2" xfId="2455" xr:uid="{00000000-0005-0000-0000-00009D080000}"/>
    <cellStyle name="Millares 3 2 2 3 3 2 2" xfId="4037" xr:uid="{00000000-0005-0000-0000-00009E080000}"/>
    <cellStyle name="Millares 3 2 2 3 3 3" xfId="1664" xr:uid="{00000000-0005-0000-0000-00009F080000}"/>
    <cellStyle name="Millares 3 2 2 3 3 4" xfId="3246" xr:uid="{00000000-0005-0000-0000-0000A0080000}"/>
    <cellStyle name="Millares 3 2 2 3 4" xfId="2061" xr:uid="{00000000-0005-0000-0000-0000A1080000}"/>
    <cellStyle name="Millares 3 2 2 3 4 2" xfId="3643" xr:uid="{00000000-0005-0000-0000-0000A2080000}"/>
    <cellStyle name="Millares 3 2 2 3 5" xfId="1270" xr:uid="{00000000-0005-0000-0000-0000A3080000}"/>
    <cellStyle name="Millares 3 2 2 3 6" xfId="2852" xr:uid="{00000000-0005-0000-0000-0000A4080000}"/>
    <cellStyle name="Millares 3 2 2 4" xfId="542" xr:uid="{00000000-0005-0000-0000-0000A5080000}"/>
    <cellStyle name="Millares 3 2 2 4 2" xfId="949" xr:uid="{00000000-0005-0000-0000-0000A6080000}"/>
    <cellStyle name="Millares 3 2 2 4 2 2" xfId="2532" xr:uid="{00000000-0005-0000-0000-0000A7080000}"/>
    <cellStyle name="Millares 3 2 2 4 2 2 2" xfId="4114" xr:uid="{00000000-0005-0000-0000-0000A8080000}"/>
    <cellStyle name="Millares 3 2 2 4 2 3" xfId="1741" xr:uid="{00000000-0005-0000-0000-0000A9080000}"/>
    <cellStyle name="Millares 3 2 2 4 2 4" xfId="3323" xr:uid="{00000000-0005-0000-0000-0000AA080000}"/>
    <cellStyle name="Millares 3 2 2 4 3" xfId="2138" xr:uid="{00000000-0005-0000-0000-0000AB080000}"/>
    <cellStyle name="Millares 3 2 2 4 3 2" xfId="3720" xr:uid="{00000000-0005-0000-0000-0000AC080000}"/>
    <cellStyle name="Millares 3 2 2 4 4" xfId="1347" xr:uid="{00000000-0005-0000-0000-0000AD080000}"/>
    <cellStyle name="Millares 3 2 2 4 5" xfId="2929" xr:uid="{00000000-0005-0000-0000-0000AE080000}"/>
    <cellStyle name="Millares 3 2 2 5" xfId="617" xr:uid="{00000000-0005-0000-0000-0000AF080000}"/>
    <cellStyle name="Millares 3 2 2 5 2" xfId="1017" xr:uid="{00000000-0005-0000-0000-0000B0080000}"/>
    <cellStyle name="Millares 3 2 2 5 2 2" xfId="2600" xr:uid="{00000000-0005-0000-0000-0000B1080000}"/>
    <cellStyle name="Millares 3 2 2 5 2 2 2" xfId="4182" xr:uid="{00000000-0005-0000-0000-0000B2080000}"/>
    <cellStyle name="Millares 3 2 2 5 2 3" xfId="1809" xr:uid="{00000000-0005-0000-0000-0000B3080000}"/>
    <cellStyle name="Millares 3 2 2 5 2 4" xfId="3391" xr:uid="{00000000-0005-0000-0000-0000B4080000}"/>
    <cellStyle name="Millares 3 2 2 5 3" xfId="2206" xr:uid="{00000000-0005-0000-0000-0000B5080000}"/>
    <cellStyle name="Millares 3 2 2 5 3 2" xfId="3788" xr:uid="{00000000-0005-0000-0000-0000B6080000}"/>
    <cellStyle name="Millares 3 2 2 5 4" xfId="1415" xr:uid="{00000000-0005-0000-0000-0000B7080000}"/>
    <cellStyle name="Millares 3 2 2 5 5" xfId="2997" xr:uid="{00000000-0005-0000-0000-0000B8080000}"/>
    <cellStyle name="Millares 3 2 2 6" xfId="769" xr:uid="{00000000-0005-0000-0000-0000B9080000}"/>
    <cellStyle name="Millares 3 2 2 6 2" xfId="1169" xr:uid="{00000000-0005-0000-0000-0000BA080000}"/>
    <cellStyle name="Millares 3 2 2 6 2 2" xfId="2752" xr:uid="{00000000-0005-0000-0000-0000BB080000}"/>
    <cellStyle name="Millares 3 2 2 6 2 2 2" xfId="4334" xr:uid="{00000000-0005-0000-0000-0000BC080000}"/>
    <cellStyle name="Millares 3 2 2 6 2 3" xfId="1961" xr:uid="{00000000-0005-0000-0000-0000BD080000}"/>
    <cellStyle name="Millares 3 2 2 6 2 4" xfId="3543" xr:uid="{00000000-0005-0000-0000-0000BE080000}"/>
    <cellStyle name="Millares 3 2 2 6 3" xfId="2358" xr:uid="{00000000-0005-0000-0000-0000BF080000}"/>
    <cellStyle name="Millares 3 2 2 6 3 2" xfId="3940" xr:uid="{00000000-0005-0000-0000-0000C0080000}"/>
    <cellStyle name="Millares 3 2 2 6 4" xfId="1567" xr:uid="{00000000-0005-0000-0000-0000C1080000}"/>
    <cellStyle name="Millares 3 2 2 6 5" xfId="3149" xr:uid="{00000000-0005-0000-0000-0000C2080000}"/>
    <cellStyle name="Millares 3 2 2 7" xfId="796" xr:uid="{00000000-0005-0000-0000-0000C3080000}"/>
    <cellStyle name="Millares 3 2 2 7 2" xfId="2379" xr:uid="{00000000-0005-0000-0000-0000C4080000}"/>
    <cellStyle name="Millares 3 2 2 7 2 2" xfId="3961" xr:uid="{00000000-0005-0000-0000-0000C5080000}"/>
    <cellStyle name="Millares 3 2 2 7 3" xfId="1588" xr:uid="{00000000-0005-0000-0000-0000C6080000}"/>
    <cellStyle name="Millares 3 2 2 7 4" xfId="3170" xr:uid="{00000000-0005-0000-0000-0000C7080000}"/>
    <cellStyle name="Millares 3 2 2 8" xfId="1985" xr:uid="{00000000-0005-0000-0000-0000C8080000}"/>
    <cellStyle name="Millares 3 2 2 8 2" xfId="3567" xr:uid="{00000000-0005-0000-0000-0000C9080000}"/>
    <cellStyle name="Millares 3 2 2 9" xfId="1194" xr:uid="{00000000-0005-0000-0000-0000CA080000}"/>
    <cellStyle name="Millares 3 2 3" xfId="378" xr:uid="{00000000-0005-0000-0000-0000CB080000}"/>
    <cellStyle name="Millares 3 2 3 2" xfId="493" xr:uid="{00000000-0005-0000-0000-0000CC080000}"/>
    <cellStyle name="Millares 3 2 3 2 2" xfId="721" xr:uid="{00000000-0005-0000-0000-0000CD080000}"/>
    <cellStyle name="Millares 3 2 3 2 2 2" xfId="1121" xr:uid="{00000000-0005-0000-0000-0000CE080000}"/>
    <cellStyle name="Millares 3 2 3 2 2 2 2" xfId="2704" xr:uid="{00000000-0005-0000-0000-0000CF080000}"/>
    <cellStyle name="Millares 3 2 3 2 2 2 2 2" xfId="4286" xr:uid="{00000000-0005-0000-0000-0000D0080000}"/>
    <cellStyle name="Millares 3 2 3 2 2 2 3" xfId="1913" xr:uid="{00000000-0005-0000-0000-0000D1080000}"/>
    <cellStyle name="Millares 3 2 3 2 2 2 4" xfId="3495" xr:uid="{00000000-0005-0000-0000-0000D2080000}"/>
    <cellStyle name="Millares 3 2 3 2 2 3" xfId="2310" xr:uid="{00000000-0005-0000-0000-0000D3080000}"/>
    <cellStyle name="Millares 3 2 3 2 2 3 2" xfId="3892" xr:uid="{00000000-0005-0000-0000-0000D4080000}"/>
    <cellStyle name="Millares 3 2 3 2 2 4" xfId="1519" xr:uid="{00000000-0005-0000-0000-0000D5080000}"/>
    <cellStyle name="Millares 3 2 3 2 2 5" xfId="3101" xr:uid="{00000000-0005-0000-0000-0000D6080000}"/>
    <cellStyle name="Millares 3 2 3 2 3" xfId="900" xr:uid="{00000000-0005-0000-0000-0000D7080000}"/>
    <cellStyle name="Millares 3 2 3 2 3 2" xfId="2483" xr:uid="{00000000-0005-0000-0000-0000D8080000}"/>
    <cellStyle name="Millares 3 2 3 2 3 2 2" xfId="4065" xr:uid="{00000000-0005-0000-0000-0000D9080000}"/>
    <cellStyle name="Millares 3 2 3 2 3 3" xfId="1692" xr:uid="{00000000-0005-0000-0000-0000DA080000}"/>
    <cellStyle name="Millares 3 2 3 2 3 4" xfId="3274" xr:uid="{00000000-0005-0000-0000-0000DB080000}"/>
    <cellStyle name="Millares 3 2 3 2 4" xfId="2089" xr:uid="{00000000-0005-0000-0000-0000DC080000}"/>
    <cellStyle name="Millares 3 2 3 2 4 2" xfId="3671" xr:uid="{00000000-0005-0000-0000-0000DD080000}"/>
    <cellStyle name="Millares 3 2 3 2 5" xfId="1298" xr:uid="{00000000-0005-0000-0000-0000DE080000}"/>
    <cellStyle name="Millares 3 2 3 2 6" xfId="2880" xr:uid="{00000000-0005-0000-0000-0000DF080000}"/>
    <cellStyle name="Millares 3 2 3 3" xfId="570" xr:uid="{00000000-0005-0000-0000-0000E0080000}"/>
    <cellStyle name="Millares 3 2 3 3 2" xfId="977" xr:uid="{00000000-0005-0000-0000-0000E1080000}"/>
    <cellStyle name="Millares 3 2 3 3 2 2" xfId="2560" xr:uid="{00000000-0005-0000-0000-0000E2080000}"/>
    <cellStyle name="Millares 3 2 3 3 2 2 2" xfId="4142" xr:uid="{00000000-0005-0000-0000-0000E3080000}"/>
    <cellStyle name="Millares 3 2 3 3 2 3" xfId="1769" xr:uid="{00000000-0005-0000-0000-0000E4080000}"/>
    <cellStyle name="Millares 3 2 3 3 2 4" xfId="3351" xr:uid="{00000000-0005-0000-0000-0000E5080000}"/>
    <cellStyle name="Millares 3 2 3 3 3" xfId="2166" xr:uid="{00000000-0005-0000-0000-0000E6080000}"/>
    <cellStyle name="Millares 3 2 3 3 3 2" xfId="3748" xr:uid="{00000000-0005-0000-0000-0000E7080000}"/>
    <cellStyle name="Millares 3 2 3 3 4" xfId="1375" xr:uid="{00000000-0005-0000-0000-0000E8080000}"/>
    <cellStyle name="Millares 3 2 3 3 5" xfId="2957" xr:uid="{00000000-0005-0000-0000-0000E9080000}"/>
    <cellStyle name="Millares 3 2 3 4" xfId="645" xr:uid="{00000000-0005-0000-0000-0000EA080000}"/>
    <cellStyle name="Millares 3 2 3 4 2" xfId="1045" xr:uid="{00000000-0005-0000-0000-0000EB080000}"/>
    <cellStyle name="Millares 3 2 3 4 2 2" xfId="2628" xr:uid="{00000000-0005-0000-0000-0000EC080000}"/>
    <cellStyle name="Millares 3 2 3 4 2 2 2" xfId="4210" xr:uid="{00000000-0005-0000-0000-0000ED080000}"/>
    <cellStyle name="Millares 3 2 3 4 2 3" xfId="1837" xr:uid="{00000000-0005-0000-0000-0000EE080000}"/>
    <cellStyle name="Millares 3 2 3 4 2 4" xfId="3419" xr:uid="{00000000-0005-0000-0000-0000EF080000}"/>
    <cellStyle name="Millares 3 2 3 4 3" xfId="2234" xr:uid="{00000000-0005-0000-0000-0000F0080000}"/>
    <cellStyle name="Millares 3 2 3 4 3 2" xfId="3816" xr:uid="{00000000-0005-0000-0000-0000F1080000}"/>
    <cellStyle name="Millares 3 2 3 4 4" xfId="1443" xr:uid="{00000000-0005-0000-0000-0000F2080000}"/>
    <cellStyle name="Millares 3 2 3 4 5" xfId="3025" xr:uid="{00000000-0005-0000-0000-0000F3080000}"/>
    <cellStyle name="Millares 3 2 3 5" xfId="824" xr:uid="{00000000-0005-0000-0000-0000F4080000}"/>
    <cellStyle name="Millares 3 2 3 5 2" xfId="2407" xr:uid="{00000000-0005-0000-0000-0000F5080000}"/>
    <cellStyle name="Millares 3 2 3 5 2 2" xfId="3989" xr:uid="{00000000-0005-0000-0000-0000F6080000}"/>
    <cellStyle name="Millares 3 2 3 5 3" xfId="1616" xr:uid="{00000000-0005-0000-0000-0000F7080000}"/>
    <cellStyle name="Millares 3 2 3 5 4" xfId="3198" xr:uid="{00000000-0005-0000-0000-0000F8080000}"/>
    <cellStyle name="Millares 3 2 3 6" xfId="2013" xr:uid="{00000000-0005-0000-0000-0000F9080000}"/>
    <cellStyle name="Millares 3 2 3 6 2" xfId="3595" xr:uid="{00000000-0005-0000-0000-0000FA080000}"/>
    <cellStyle name="Millares 3 2 3 7" xfId="1222" xr:uid="{00000000-0005-0000-0000-0000FB080000}"/>
    <cellStyle name="Millares 3 2 3 8" xfId="2804" xr:uid="{00000000-0005-0000-0000-0000FC080000}"/>
    <cellStyle name="Millares 3 2 4" xfId="452" xr:uid="{00000000-0005-0000-0000-0000FD080000}"/>
    <cellStyle name="Millares 3 2 4 2" xfId="680" xr:uid="{00000000-0005-0000-0000-0000FE080000}"/>
    <cellStyle name="Millares 3 2 4 2 2" xfId="1080" xr:uid="{00000000-0005-0000-0000-0000FF080000}"/>
    <cellStyle name="Millares 3 2 4 2 2 2" xfId="2663" xr:uid="{00000000-0005-0000-0000-000000090000}"/>
    <cellStyle name="Millares 3 2 4 2 2 2 2" xfId="4245" xr:uid="{00000000-0005-0000-0000-000001090000}"/>
    <cellStyle name="Millares 3 2 4 2 2 3" xfId="1872" xr:uid="{00000000-0005-0000-0000-000002090000}"/>
    <cellStyle name="Millares 3 2 4 2 2 4" xfId="3454" xr:uid="{00000000-0005-0000-0000-000003090000}"/>
    <cellStyle name="Millares 3 2 4 2 3" xfId="2269" xr:uid="{00000000-0005-0000-0000-000004090000}"/>
    <cellStyle name="Millares 3 2 4 2 3 2" xfId="3851" xr:uid="{00000000-0005-0000-0000-000005090000}"/>
    <cellStyle name="Millares 3 2 4 2 4" xfId="1478" xr:uid="{00000000-0005-0000-0000-000006090000}"/>
    <cellStyle name="Millares 3 2 4 2 5" xfId="3060" xr:uid="{00000000-0005-0000-0000-000007090000}"/>
    <cellStyle name="Millares 3 2 4 3" xfId="859" xr:uid="{00000000-0005-0000-0000-000008090000}"/>
    <cellStyle name="Millares 3 2 4 3 2" xfId="2442" xr:uid="{00000000-0005-0000-0000-000009090000}"/>
    <cellStyle name="Millares 3 2 4 3 2 2" xfId="4024" xr:uid="{00000000-0005-0000-0000-00000A090000}"/>
    <cellStyle name="Millares 3 2 4 3 3" xfId="1651" xr:uid="{00000000-0005-0000-0000-00000B090000}"/>
    <cellStyle name="Millares 3 2 4 3 4" xfId="3233" xr:uid="{00000000-0005-0000-0000-00000C090000}"/>
    <cellStyle name="Millares 3 2 4 4" xfId="2048" xr:uid="{00000000-0005-0000-0000-00000D090000}"/>
    <cellStyle name="Millares 3 2 4 4 2" xfId="3630" xr:uid="{00000000-0005-0000-0000-00000E090000}"/>
    <cellStyle name="Millares 3 2 4 5" xfId="1257" xr:uid="{00000000-0005-0000-0000-00000F090000}"/>
    <cellStyle name="Millares 3 2 4 6" xfId="2839" xr:uid="{00000000-0005-0000-0000-000010090000}"/>
    <cellStyle name="Millares 3 2 5" xfId="529" xr:uid="{00000000-0005-0000-0000-000011090000}"/>
    <cellStyle name="Millares 3 2 5 2" xfId="936" xr:uid="{00000000-0005-0000-0000-000012090000}"/>
    <cellStyle name="Millares 3 2 5 2 2" xfId="2519" xr:uid="{00000000-0005-0000-0000-000013090000}"/>
    <cellStyle name="Millares 3 2 5 2 2 2" xfId="4101" xr:uid="{00000000-0005-0000-0000-000014090000}"/>
    <cellStyle name="Millares 3 2 5 2 3" xfId="1728" xr:uid="{00000000-0005-0000-0000-000015090000}"/>
    <cellStyle name="Millares 3 2 5 2 4" xfId="3310" xr:uid="{00000000-0005-0000-0000-000016090000}"/>
    <cellStyle name="Millares 3 2 5 3" xfId="2125" xr:uid="{00000000-0005-0000-0000-000017090000}"/>
    <cellStyle name="Millares 3 2 5 3 2" xfId="3707" xr:uid="{00000000-0005-0000-0000-000018090000}"/>
    <cellStyle name="Millares 3 2 5 4" xfId="1334" xr:uid="{00000000-0005-0000-0000-000019090000}"/>
    <cellStyle name="Millares 3 2 5 5" xfId="2916" xr:uid="{00000000-0005-0000-0000-00001A090000}"/>
    <cellStyle name="Millares 3 2 6" xfId="604" xr:uid="{00000000-0005-0000-0000-00001B090000}"/>
    <cellStyle name="Millares 3 2 6 2" xfId="1004" xr:uid="{00000000-0005-0000-0000-00001C090000}"/>
    <cellStyle name="Millares 3 2 6 2 2" xfId="2587" xr:uid="{00000000-0005-0000-0000-00001D090000}"/>
    <cellStyle name="Millares 3 2 6 2 2 2" xfId="4169" xr:uid="{00000000-0005-0000-0000-00001E090000}"/>
    <cellStyle name="Millares 3 2 6 2 3" xfId="1796" xr:uid="{00000000-0005-0000-0000-00001F090000}"/>
    <cellStyle name="Millares 3 2 6 2 4" xfId="3378" xr:uid="{00000000-0005-0000-0000-000020090000}"/>
    <cellStyle name="Millares 3 2 6 3" xfId="2193" xr:uid="{00000000-0005-0000-0000-000021090000}"/>
    <cellStyle name="Millares 3 2 6 3 2" xfId="3775" xr:uid="{00000000-0005-0000-0000-000022090000}"/>
    <cellStyle name="Millares 3 2 6 4" xfId="1402" xr:uid="{00000000-0005-0000-0000-000023090000}"/>
    <cellStyle name="Millares 3 2 6 5" xfId="2984" xr:uid="{00000000-0005-0000-0000-000024090000}"/>
    <cellStyle name="Millares 3 2 7" xfId="756" xr:uid="{00000000-0005-0000-0000-000025090000}"/>
    <cellStyle name="Millares 3 2 7 2" xfId="1156" xr:uid="{00000000-0005-0000-0000-000026090000}"/>
    <cellStyle name="Millares 3 2 7 2 2" xfId="2739" xr:uid="{00000000-0005-0000-0000-000027090000}"/>
    <cellStyle name="Millares 3 2 7 2 2 2" xfId="4321" xr:uid="{00000000-0005-0000-0000-000028090000}"/>
    <cellStyle name="Millares 3 2 7 2 3" xfId="1948" xr:uid="{00000000-0005-0000-0000-000029090000}"/>
    <cellStyle name="Millares 3 2 7 2 4" xfId="3530" xr:uid="{00000000-0005-0000-0000-00002A090000}"/>
    <cellStyle name="Millares 3 2 7 3" xfId="2345" xr:uid="{00000000-0005-0000-0000-00002B090000}"/>
    <cellStyle name="Millares 3 2 7 3 2" xfId="3927" xr:uid="{00000000-0005-0000-0000-00002C090000}"/>
    <cellStyle name="Millares 3 2 7 4" xfId="1554" xr:uid="{00000000-0005-0000-0000-00002D090000}"/>
    <cellStyle name="Millares 3 2 7 5" xfId="3136" xr:uid="{00000000-0005-0000-0000-00002E090000}"/>
    <cellStyle name="Millares 3 2 8" xfId="783" xr:uid="{00000000-0005-0000-0000-00002F090000}"/>
    <cellStyle name="Millares 3 2 8 2" xfId="2366" xr:uid="{00000000-0005-0000-0000-000030090000}"/>
    <cellStyle name="Millares 3 2 8 2 2" xfId="3948" xr:uid="{00000000-0005-0000-0000-000031090000}"/>
    <cellStyle name="Millares 3 2 8 3" xfId="1575" xr:uid="{00000000-0005-0000-0000-000032090000}"/>
    <cellStyle name="Millares 3 2 8 4" xfId="3157" xr:uid="{00000000-0005-0000-0000-000033090000}"/>
    <cellStyle name="Millares 3 2 9" xfId="1972" xr:uid="{00000000-0005-0000-0000-000034090000}"/>
    <cellStyle name="Millares 3 2 9 2" xfId="3554" xr:uid="{00000000-0005-0000-0000-000035090000}"/>
    <cellStyle name="Millares 3 3" xfId="311" xr:uid="{00000000-0005-0000-0000-000036090000}"/>
    <cellStyle name="Millares 3 3 10" xfId="2771" xr:uid="{00000000-0005-0000-0000-000037090000}"/>
    <cellStyle name="Millares 3 3 11" xfId="4593" xr:uid="{30AC3528-2052-4D93-929F-84F2CB9D6E2E}"/>
    <cellStyle name="Millares 3 3 12" xfId="4430" xr:uid="{2387DE9C-FA53-4024-B02B-098CB9C9F92A}"/>
    <cellStyle name="Millares 3 3 2" xfId="389" xr:uid="{00000000-0005-0000-0000-000038090000}"/>
    <cellStyle name="Millares 3 3 2 10" xfId="4459" xr:uid="{8856C176-B96B-4C85-AD09-2B41A1125146}"/>
    <cellStyle name="Millares 3 3 2 2" xfId="501" xr:uid="{00000000-0005-0000-0000-000039090000}"/>
    <cellStyle name="Millares 3 3 2 2 2" xfId="729" xr:uid="{00000000-0005-0000-0000-00003A090000}"/>
    <cellStyle name="Millares 3 3 2 2 2 2" xfId="1129" xr:uid="{00000000-0005-0000-0000-00003B090000}"/>
    <cellStyle name="Millares 3 3 2 2 2 2 2" xfId="2712" xr:uid="{00000000-0005-0000-0000-00003C090000}"/>
    <cellStyle name="Millares 3 3 2 2 2 2 2 2" xfId="4294" xr:uid="{00000000-0005-0000-0000-00003D090000}"/>
    <cellStyle name="Millares 3 3 2 2 2 2 3" xfId="1921" xr:uid="{00000000-0005-0000-0000-00003E090000}"/>
    <cellStyle name="Millares 3 3 2 2 2 2 4" xfId="3503" xr:uid="{00000000-0005-0000-0000-00003F090000}"/>
    <cellStyle name="Millares 3 3 2 2 2 3" xfId="2318" xr:uid="{00000000-0005-0000-0000-000040090000}"/>
    <cellStyle name="Millares 3 3 2 2 2 3 2" xfId="3900" xr:uid="{00000000-0005-0000-0000-000041090000}"/>
    <cellStyle name="Millares 3 3 2 2 2 4" xfId="1527" xr:uid="{00000000-0005-0000-0000-000042090000}"/>
    <cellStyle name="Millares 3 3 2 2 2 5" xfId="3109" xr:uid="{00000000-0005-0000-0000-000043090000}"/>
    <cellStyle name="Millares 3 3 2 2 3" xfId="908" xr:uid="{00000000-0005-0000-0000-000044090000}"/>
    <cellStyle name="Millares 3 3 2 2 3 2" xfId="2491" xr:uid="{00000000-0005-0000-0000-000045090000}"/>
    <cellStyle name="Millares 3 3 2 2 3 2 2" xfId="4073" xr:uid="{00000000-0005-0000-0000-000046090000}"/>
    <cellStyle name="Millares 3 3 2 2 3 3" xfId="1700" xr:uid="{00000000-0005-0000-0000-000047090000}"/>
    <cellStyle name="Millares 3 3 2 2 3 4" xfId="3282" xr:uid="{00000000-0005-0000-0000-000048090000}"/>
    <cellStyle name="Millares 3 3 2 2 4" xfId="2097" xr:uid="{00000000-0005-0000-0000-000049090000}"/>
    <cellStyle name="Millares 3 3 2 2 4 2" xfId="3679" xr:uid="{00000000-0005-0000-0000-00004A090000}"/>
    <cellStyle name="Millares 3 3 2 2 5" xfId="1306" xr:uid="{00000000-0005-0000-0000-00004B090000}"/>
    <cellStyle name="Millares 3 3 2 2 6" xfId="2888" xr:uid="{00000000-0005-0000-0000-00004C090000}"/>
    <cellStyle name="Millares 3 3 2 3" xfId="578" xr:uid="{00000000-0005-0000-0000-00004D090000}"/>
    <cellStyle name="Millares 3 3 2 3 2" xfId="985" xr:uid="{00000000-0005-0000-0000-00004E090000}"/>
    <cellStyle name="Millares 3 3 2 3 2 2" xfId="2568" xr:uid="{00000000-0005-0000-0000-00004F090000}"/>
    <cellStyle name="Millares 3 3 2 3 2 2 2" xfId="4150" xr:uid="{00000000-0005-0000-0000-000050090000}"/>
    <cellStyle name="Millares 3 3 2 3 2 3" xfId="1777" xr:uid="{00000000-0005-0000-0000-000051090000}"/>
    <cellStyle name="Millares 3 3 2 3 2 4" xfId="3359" xr:uid="{00000000-0005-0000-0000-000052090000}"/>
    <cellStyle name="Millares 3 3 2 3 3" xfId="2174" xr:uid="{00000000-0005-0000-0000-000053090000}"/>
    <cellStyle name="Millares 3 3 2 3 3 2" xfId="3756" xr:uid="{00000000-0005-0000-0000-000054090000}"/>
    <cellStyle name="Millares 3 3 2 3 4" xfId="1383" xr:uid="{00000000-0005-0000-0000-000055090000}"/>
    <cellStyle name="Millares 3 3 2 3 5" xfId="2965" xr:uid="{00000000-0005-0000-0000-000056090000}"/>
    <cellStyle name="Millares 3 3 2 4" xfId="653" xr:uid="{00000000-0005-0000-0000-000057090000}"/>
    <cellStyle name="Millares 3 3 2 4 2" xfId="1053" xr:uid="{00000000-0005-0000-0000-000058090000}"/>
    <cellStyle name="Millares 3 3 2 4 2 2" xfId="2636" xr:uid="{00000000-0005-0000-0000-000059090000}"/>
    <cellStyle name="Millares 3 3 2 4 2 2 2" xfId="4218" xr:uid="{00000000-0005-0000-0000-00005A090000}"/>
    <cellStyle name="Millares 3 3 2 4 2 3" xfId="1845" xr:uid="{00000000-0005-0000-0000-00005B090000}"/>
    <cellStyle name="Millares 3 3 2 4 2 4" xfId="3427" xr:uid="{00000000-0005-0000-0000-00005C090000}"/>
    <cellStyle name="Millares 3 3 2 4 3" xfId="2242" xr:uid="{00000000-0005-0000-0000-00005D090000}"/>
    <cellStyle name="Millares 3 3 2 4 3 2" xfId="3824" xr:uid="{00000000-0005-0000-0000-00005E090000}"/>
    <cellStyle name="Millares 3 3 2 4 4" xfId="1451" xr:uid="{00000000-0005-0000-0000-00005F090000}"/>
    <cellStyle name="Millares 3 3 2 4 5" xfId="3033" xr:uid="{00000000-0005-0000-0000-000060090000}"/>
    <cellStyle name="Millares 3 3 2 5" xfId="832" xr:uid="{00000000-0005-0000-0000-000061090000}"/>
    <cellStyle name="Millares 3 3 2 5 2" xfId="2415" xr:uid="{00000000-0005-0000-0000-000062090000}"/>
    <cellStyle name="Millares 3 3 2 5 2 2" xfId="3997" xr:uid="{00000000-0005-0000-0000-000063090000}"/>
    <cellStyle name="Millares 3 3 2 5 3" xfId="1624" xr:uid="{00000000-0005-0000-0000-000064090000}"/>
    <cellStyle name="Millares 3 3 2 5 4" xfId="3206" xr:uid="{00000000-0005-0000-0000-000065090000}"/>
    <cellStyle name="Millares 3 3 2 6" xfId="2021" xr:uid="{00000000-0005-0000-0000-000066090000}"/>
    <cellStyle name="Millares 3 3 2 6 2" xfId="3603" xr:uid="{00000000-0005-0000-0000-000067090000}"/>
    <cellStyle name="Millares 3 3 2 7" xfId="1230" xr:uid="{00000000-0005-0000-0000-000068090000}"/>
    <cellStyle name="Millares 3 3 2 8" xfId="2812" xr:uid="{00000000-0005-0000-0000-000069090000}"/>
    <cellStyle name="Millares 3 3 2 9" xfId="4594" xr:uid="{29A4882A-0EF9-43D4-8A9B-0B21A2517229}"/>
    <cellStyle name="Millares 3 3 3" xfId="460" xr:uid="{00000000-0005-0000-0000-00006A090000}"/>
    <cellStyle name="Millares 3 3 3 2" xfId="688" xr:uid="{00000000-0005-0000-0000-00006B090000}"/>
    <cellStyle name="Millares 3 3 3 2 2" xfId="1088" xr:uid="{00000000-0005-0000-0000-00006C090000}"/>
    <cellStyle name="Millares 3 3 3 2 2 2" xfId="2671" xr:uid="{00000000-0005-0000-0000-00006D090000}"/>
    <cellStyle name="Millares 3 3 3 2 2 2 2" xfId="4253" xr:uid="{00000000-0005-0000-0000-00006E090000}"/>
    <cellStyle name="Millares 3 3 3 2 2 3" xfId="1880" xr:uid="{00000000-0005-0000-0000-00006F090000}"/>
    <cellStyle name="Millares 3 3 3 2 2 4" xfId="3462" xr:uid="{00000000-0005-0000-0000-000070090000}"/>
    <cellStyle name="Millares 3 3 3 2 3" xfId="2277" xr:uid="{00000000-0005-0000-0000-000071090000}"/>
    <cellStyle name="Millares 3 3 3 2 3 2" xfId="3859" xr:uid="{00000000-0005-0000-0000-000072090000}"/>
    <cellStyle name="Millares 3 3 3 2 4" xfId="1486" xr:uid="{00000000-0005-0000-0000-000073090000}"/>
    <cellStyle name="Millares 3 3 3 2 5" xfId="3068" xr:uid="{00000000-0005-0000-0000-000074090000}"/>
    <cellStyle name="Millares 3 3 3 3" xfId="867" xr:uid="{00000000-0005-0000-0000-000075090000}"/>
    <cellStyle name="Millares 3 3 3 3 2" xfId="2450" xr:uid="{00000000-0005-0000-0000-000076090000}"/>
    <cellStyle name="Millares 3 3 3 3 2 2" xfId="4032" xr:uid="{00000000-0005-0000-0000-000077090000}"/>
    <cellStyle name="Millares 3 3 3 3 3" xfId="1659" xr:uid="{00000000-0005-0000-0000-000078090000}"/>
    <cellStyle name="Millares 3 3 3 3 4" xfId="3241" xr:uid="{00000000-0005-0000-0000-000079090000}"/>
    <cellStyle name="Millares 3 3 3 4" xfId="2056" xr:uid="{00000000-0005-0000-0000-00007A090000}"/>
    <cellStyle name="Millares 3 3 3 4 2" xfId="3638" xr:uid="{00000000-0005-0000-0000-00007B090000}"/>
    <cellStyle name="Millares 3 3 3 5" xfId="1265" xr:uid="{00000000-0005-0000-0000-00007C090000}"/>
    <cellStyle name="Millares 3 3 3 6" xfId="2847" xr:uid="{00000000-0005-0000-0000-00007D090000}"/>
    <cellStyle name="Millares 3 3 4" xfId="537" xr:uid="{00000000-0005-0000-0000-00007E090000}"/>
    <cellStyle name="Millares 3 3 4 2" xfId="944" xr:uid="{00000000-0005-0000-0000-00007F090000}"/>
    <cellStyle name="Millares 3 3 4 2 2" xfId="2527" xr:uid="{00000000-0005-0000-0000-000080090000}"/>
    <cellStyle name="Millares 3 3 4 2 2 2" xfId="4109" xr:uid="{00000000-0005-0000-0000-000081090000}"/>
    <cellStyle name="Millares 3 3 4 2 3" xfId="1736" xr:uid="{00000000-0005-0000-0000-000082090000}"/>
    <cellStyle name="Millares 3 3 4 2 4" xfId="3318" xr:uid="{00000000-0005-0000-0000-000083090000}"/>
    <cellStyle name="Millares 3 3 4 3" xfId="2133" xr:uid="{00000000-0005-0000-0000-000084090000}"/>
    <cellStyle name="Millares 3 3 4 3 2" xfId="3715" xr:uid="{00000000-0005-0000-0000-000085090000}"/>
    <cellStyle name="Millares 3 3 4 4" xfId="1342" xr:uid="{00000000-0005-0000-0000-000086090000}"/>
    <cellStyle name="Millares 3 3 4 5" xfId="2924" xr:uid="{00000000-0005-0000-0000-000087090000}"/>
    <cellStyle name="Millares 3 3 5" xfId="612" xr:uid="{00000000-0005-0000-0000-000088090000}"/>
    <cellStyle name="Millares 3 3 5 2" xfId="1012" xr:uid="{00000000-0005-0000-0000-000089090000}"/>
    <cellStyle name="Millares 3 3 5 2 2" xfId="2595" xr:uid="{00000000-0005-0000-0000-00008A090000}"/>
    <cellStyle name="Millares 3 3 5 2 2 2" xfId="4177" xr:uid="{00000000-0005-0000-0000-00008B090000}"/>
    <cellStyle name="Millares 3 3 5 2 3" xfId="1804" xr:uid="{00000000-0005-0000-0000-00008C090000}"/>
    <cellStyle name="Millares 3 3 5 2 4" xfId="3386" xr:uid="{00000000-0005-0000-0000-00008D090000}"/>
    <cellStyle name="Millares 3 3 5 3" xfId="2201" xr:uid="{00000000-0005-0000-0000-00008E090000}"/>
    <cellStyle name="Millares 3 3 5 3 2" xfId="3783" xr:uid="{00000000-0005-0000-0000-00008F090000}"/>
    <cellStyle name="Millares 3 3 5 4" xfId="1410" xr:uid="{00000000-0005-0000-0000-000090090000}"/>
    <cellStyle name="Millares 3 3 5 5" xfId="2992" xr:uid="{00000000-0005-0000-0000-000091090000}"/>
    <cellStyle name="Millares 3 3 6" xfId="764" xr:uid="{00000000-0005-0000-0000-000092090000}"/>
    <cellStyle name="Millares 3 3 6 2" xfId="1164" xr:uid="{00000000-0005-0000-0000-000093090000}"/>
    <cellStyle name="Millares 3 3 6 2 2" xfId="2747" xr:uid="{00000000-0005-0000-0000-000094090000}"/>
    <cellStyle name="Millares 3 3 6 2 2 2" xfId="4329" xr:uid="{00000000-0005-0000-0000-000095090000}"/>
    <cellStyle name="Millares 3 3 6 2 3" xfId="1956" xr:uid="{00000000-0005-0000-0000-000096090000}"/>
    <cellStyle name="Millares 3 3 6 2 4" xfId="3538" xr:uid="{00000000-0005-0000-0000-000097090000}"/>
    <cellStyle name="Millares 3 3 6 3" xfId="2353" xr:uid="{00000000-0005-0000-0000-000098090000}"/>
    <cellStyle name="Millares 3 3 6 3 2" xfId="3935" xr:uid="{00000000-0005-0000-0000-000099090000}"/>
    <cellStyle name="Millares 3 3 6 4" xfId="1562" xr:uid="{00000000-0005-0000-0000-00009A090000}"/>
    <cellStyle name="Millares 3 3 6 5" xfId="3144" xr:uid="{00000000-0005-0000-0000-00009B090000}"/>
    <cellStyle name="Millares 3 3 7" xfId="791" xr:uid="{00000000-0005-0000-0000-00009C090000}"/>
    <cellStyle name="Millares 3 3 7 2" xfId="2374" xr:uid="{00000000-0005-0000-0000-00009D090000}"/>
    <cellStyle name="Millares 3 3 7 2 2" xfId="3956" xr:uid="{00000000-0005-0000-0000-00009E090000}"/>
    <cellStyle name="Millares 3 3 7 3" xfId="1583" xr:uid="{00000000-0005-0000-0000-00009F090000}"/>
    <cellStyle name="Millares 3 3 7 4" xfId="3165" xr:uid="{00000000-0005-0000-0000-0000A0090000}"/>
    <cellStyle name="Millares 3 3 8" xfId="1980" xr:uid="{00000000-0005-0000-0000-0000A1090000}"/>
    <cellStyle name="Millares 3 3 8 2" xfId="3562" xr:uid="{00000000-0005-0000-0000-0000A2090000}"/>
    <cellStyle name="Millares 3 3 9" xfId="1189" xr:uid="{00000000-0005-0000-0000-0000A3090000}"/>
    <cellStyle name="Millares 3 4" xfId="370" xr:uid="{00000000-0005-0000-0000-0000A4090000}"/>
    <cellStyle name="Millares 3 4 2" xfId="488" xr:uid="{00000000-0005-0000-0000-0000A5090000}"/>
    <cellStyle name="Millares 3 4 2 2" xfId="716" xr:uid="{00000000-0005-0000-0000-0000A6090000}"/>
    <cellStyle name="Millares 3 4 2 2 2" xfId="1116" xr:uid="{00000000-0005-0000-0000-0000A7090000}"/>
    <cellStyle name="Millares 3 4 2 2 2 2" xfId="2699" xr:uid="{00000000-0005-0000-0000-0000A8090000}"/>
    <cellStyle name="Millares 3 4 2 2 2 2 2" xfId="4281" xr:uid="{00000000-0005-0000-0000-0000A9090000}"/>
    <cellStyle name="Millares 3 4 2 2 2 3" xfId="1908" xr:uid="{00000000-0005-0000-0000-0000AA090000}"/>
    <cellStyle name="Millares 3 4 2 2 2 4" xfId="3490" xr:uid="{00000000-0005-0000-0000-0000AB090000}"/>
    <cellStyle name="Millares 3 4 2 2 3" xfId="2305" xr:uid="{00000000-0005-0000-0000-0000AC090000}"/>
    <cellStyle name="Millares 3 4 2 2 3 2" xfId="3887" xr:uid="{00000000-0005-0000-0000-0000AD090000}"/>
    <cellStyle name="Millares 3 4 2 2 4" xfId="1514" xr:uid="{00000000-0005-0000-0000-0000AE090000}"/>
    <cellStyle name="Millares 3 4 2 2 5" xfId="3096" xr:uid="{00000000-0005-0000-0000-0000AF090000}"/>
    <cellStyle name="Millares 3 4 2 3" xfId="895" xr:uid="{00000000-0005-0000-0000-0000B0090000}"/>
    <cellStyle name="Millares 3 4 2 3 2" xfId="2478" xr:uid="{00000000-0005-0000-0000-0000B1090000}"/>
    <cellStyle name="Millares 3 4 2 3 2 2" xfId="4060" xr:uid="{00000000-0005-0000-0000-0000B2090000}"/>
    <cellStyle name="Millares 3 4 2 3 3" xfId="1687" xr:uid="{00000000-0005-0000-0000-0000B3090000}"/>
    <cellStyle name="Millares 3 4 2 3 4" xfId="3269" xr:uid="{00000000-0005-0000-0000-0000B4090000}"/>
    <cellStyle name="Millares 3 4 2 4" xfId="2084" xr:uid="{00000000-0005-0000-0000-0000B5090000}"/>
    <cellStyle name="Millares 3 4 2 4 2" xfId="3666" xr:uid="{00000000-0005-0000-0000-0000B6090000}"/>
    <cellStyle name="Millares 3 4 2 5" xfId="1293" xr:uid="{00000000-0005-0000-0000-0000B7090000}"/>
    <cellStyle name="Millares 3 4 2 6" xfId="2875" xr:uid="{00000000-0005-0000-0000-0000B8090000}"/>
    <cellStyle name="Millares 3 4 3" xfId="565" xr:uid="{00000000-0005-0000-0000-0000B9090000}"/>
    <cellStyle name="Millares 3 4 3 2" xfId="972" xr:uid="{00000000-0005-0000-0000-0000BA090000}"/>
    <cellStyle name="Millares 3 4 3 2 2" xfId="2555" xr:uid="{00000000-0005-0000-0000-0000BB090000}"/>
    <cellStyle name="Millares 3 4 3 2 2 2" xfId="4137" xr:uid="{00000000-0005-0000-0000-0000BC090000}"/>
    <cellStyle name="Millares 3 4 3 2 3" xfId="1764" xr:uid="{00000000-0005-0000-0000-0000BD090000}"/>
    <cellStyle name="Millares 3 4 3 2 4" xfId="3346" xr:uid="{00000000-0005-0000-0000-0000BE090000}"/>
    <cellStyle name="Millares 3 4 3 3" xfId="2161" xr:uid="{00000000-0005-0000-0000-0000BF090000}"/>
    <cellStyle name="Millares 3 4 3 3 2" xfId="3743" xr:uid="{00000000-0005-0000-0000-0000C0090000}"/>
    <cellStyle name="Millares 3 4 3 4" xfId="1370" xr:uid="{00000000-0005-0000-0000-0000C1090000}"/>
    <cellStyle name="Millares 3 4 3 5" xfId="2952" xr:uid="{00000000-0005-0000-0000-0000C2090000}"/>
    <cellStyle name="Millares 3 4 4" xfId="640" xr:uid="{00000000-0005-0000-0000-0000C3090000}"/>
    <cellStyle name="Millares 3 4 4 2" xfId="1040" xr:uid="{00000000-0005-0000-0000-0000C4090000}"/>
    <cellStyle name="Millares 3 4 4 2 2" xfId="2623" xr:uid="{00000000-0005-0000-0000-0000C5090000}"/>
    <cellStyle name="Millares 3 4 4 2 2 2" xfId="4205" xr:uid="{00000000-0005-0000-0000-0000C6090000}"/>
    <cellStyle name="Millares 3 4 4 2 3" xfId="1832" xr:uid="{00000000-0005-0000-0000-0000C7090000}"/>
    <cellStyle name="Millares 3 4 4 2 4" xfId="3414" xr:uid="{00000000-0005-0000-0000-0000C8090000}"/>
    <cellStyle name="Millares 3 4 4 3" xfId="2229" xr:uid="{00000000-0005-0000-0000-0000C9090000}"/>
    <cellStyle name="Millares 3 4 4 3 2" xfId="3811" xr:uid="{00000000-0005-0000-0000-0000CA090000}"/>
    <cellStyle name="Millares 3 4 4 4" xfId="1438" xr:uid="{00000000-0005-0000-0000-0000CB090000}"/>
    <cellStyle name="Millares 3 4 4 5" xfId="3020" xr:uid="{00000000-0005-0000-0000-0000CC090000}"/>
    <cellStyle name="Millares 3 4 5" xfId="819" xr:uid="{00000000-0005-0000-0000-0000CD090000}"/>
    <cellStyle name="Millares 3 4 5 2" xfId="2402" xr:uid="{00000000-0005-0000-0000-0000CE090000}"/>
    <cellStyle name="Millares 3 4 5 2 2" xfId="3984" xr:uid="{00000000-0005-0000-0000-0000CF090000}"/>
    <cellStyle name="Millares 3 4 5 3" xfId="1611" xr:uid="{00000000-0005-0000-0000-0000D0090000}"/>
    <cellStyle name="Millares 3 4 5 4" xfId="3193" xr:uid="{00000000-0005-0000-0000-0000D1090000}"/>
    <cellStyle name="Millares 3 4 6" xfId="2008" xr:uid="{00000000-0005-0000-0000-0000D2090000}"/>
    <cellStyle name="Millares 3 4 6 2" xfId="3590" xr:uid="{00000000-0005-0000-0000-0000D3090000}"/>
    <cellStyle name="Millares 3 4 7" xfId="1217" xr:uid="{00000000-0005-0000-0000-0000D4090000}"/>
    <cellStyle name="Millares 3 4 8" xfId="2799" xr:uid="{00000000-0005-0000-0000-0000D5090000}"/>
    <cellStyle name="Millares 3 5" xfId="447" xr:uid="{00000000-0005-0000-0000-0000D6090000}"/>
    <cellStyle name="Millares 3 5 2" xfId="675" xr:uid="{00000000-0005-0000-0000-0000D7090000}"/>
    <cellStyle name="Millares 3 5 2 2" xfId="1075" xr:uid="{00000000-0005-0000-0000-0000D8090000}"/>
    <cellStyle name="Millares 3 5 2 2 2" xfId="2658" xr:uid="{00000000-0005-0000-0000-0000D9090000}"/>
    <cellStyle name="Millares 3 5 2 2 2 2" xfId="4240" xr:uid="{00000000-0005-0000-0000-0000DA090000}"/>
    <cellStyle name="Millares 3 5 2 2 3" xfId="1867" xr:uid="{00000000-0005-0000-0000-0000DB090000}"/>
    <cellStyle name="Millares 3 5 2 2 4" xfId="3449" xr:uid="{00000000-0005-0000-0000-0000DC090000}"/>
    <cellStyle name="Millares 3 5 2 3" xfId="2264" xr:uid="{00000000-0005-0000-0000-0000DD090000}"/>
    <cellStyle name="Millares 3 5 2 3 2" xfId="3846" xr:uid="{00000000-0005-0000-0000-0000DE090000}"/>
    <cellStyle name="Millares 3 5 2 4" xfId="1473" xr:uid="{00000000-0005-0000-0000-0000DF090000}"/>
    <cellStyle name="Millares 3 5 2 5" xfId="3055" xr:uid="{00000000-0005-0000-0000-0000E0090000}"/>
    <cellStyle name="Millares 3 5 3" xfId="854" xr:uid="{00000000-0005-0000-0000-0000E1090000}"/>
    <cellStyle name="Millares 3 5 3 2" xfId="2437" xr:uid="{00000000-0005-0000-0000-0000E2090000}"/>
    <cellStyle name="Millares 3 5 3 2 2" xfId="4019" xr:uid="{00000000-0005-0000-0000-0000E3090000}"/>
    <cellStyle name="Millares 3 5 3 3" xfId="1646" xr:uid="{00000000-0005-0000-0000-0000E4090000}"/>
    <cellStyle name="Millares 3 5 3 4" xfId="3228" xr:uid="{00000000-0005-0000-0000-0000E5090000}"/>
    <cellStyle name="Millares 3 5 4" xfId="2043" xr:uid="{00000000-0005-0000-0000-0000E6090000}"/>
    <cellStyle name="Millares 3 5 4 2" xfId="3625" xr:uid="{00000000-0005-0000-0000-0000E7090000}"/>
    <cellStyle name="Millares 3 5 5" xfId="1252" xr:uid="{00000000-0005-0000-0000-0000E8090000}"/>
    <cellStyle name="Millares 3 5 6" xfId="2834" xr:uid="{00000000-0005-0000-0000-0000E9090000}"/>
    <cellStyle name="Millares 3 6" xfId="524" xr:uid="{00000000-0005-0000-0000-0000EA090000}"/>
    <cellStyle name="Millares 3 6 2" xfId="931" xr:uid="{00000000-0005-0000-0000-0000EB090000}"/>
    <cellStyle name="Millares 3 6 2 2" xfId="2514" xr:uid="{00000000-0005-0000-0000-0000EC090000}"/>
    <cellStyle name="Millares 3 6 2 2 2" xfId="4096" xr:uid="{00000000-0005-0000-0000-0000ED090000}"/>
    <cellStyle name="Millares 3 6 2 3" xfId="1723" xr:uid="{00000000-0005-0000-0000-0000EE090000}"/>
    <cellStyle name="Millares 3 6 2 4" xfId="3305" xr:uid="{00000000-0005-0000-0000-0000EF090000}"/>
    <cellStyle name="Millares 3 6 3" xfId="2120" xr:uid="{00000000-0005-0000-0000-0000F0090000}"/>
    <cellStyle name="Millares 3 6 3 2" xfId="3702" xr:uid="{00000000-0005-0000-0000-0000F1090000}"/>
    <cellStyle name="Millares 3 6 4" xfId="1329" xr:uid="{00000000-0005-0000-0000-0000F2090000}"/>
    <cellStyle name="Millares 3 6 5" xfId="2911" xr:uid="{00000000-0005-0000-0000-0000F3090000}"/>
    <cellStyle name="Millares 3 7" xfId="599" xr:uid="{00000000-0005-0000-0000-0000F4090000}"/>
    <cellStyle name="Millares 3 7 2" xfId="999" xr:uid="{00000000-0005-0000-0000-0000F5090000}"/>
    <cellStyle name="Millares 3 7 2 2" xfId="2582" xr:uid="{00000000-0005-0000-0000-0000F6090000}"/>
    <cellStyle name="Millares 3 7 2 2 2" xfId="4164" xr:uid="{00000000-0005-0000-0000-0000F7090000}"/>
    <cellStyle name="Millares 3 7 2 3" xfId="1791" xr:uid="{00000000-0005-0000-0000-0000F8090000}"/>
    <cellStyle name="Millares 3 7 2 4" xfId="3373" xr:uid="{00000000-0005-0000-0000-0000F9090000}"/>
    <cellStyle name="Millares 3 7 3" xfId="2188" xr:uid="{00000000-0005-0000-0000-0000FA090000}"/>
    <cellStyle name="Millares 3 7 3 2" xfId="3770" xr:uid="{00000000-0005-0000-0000-0000FB090000}"/>
    <cellStyle name="Millares 3 7 4" xfId="1397" xr:uid="{00000000-0005-0000-0000-0000FC090000}"/>
    <cellStyle name="Millares 3 7 5" xfId="2979" xr:uid="{00000000-0005-0000-0000-0000FD090000}"/>
    <cellStyle name="Millares 3 8" xfId="751" xr:uid="{00000000-0005-0000-0000-0000FE090000}"/>
    <cellStyle name="Millares 3 8 2" xfId="1151" xr:uid="{00000000-0005-0000-0000-0000FF090000}"/>
    <cellStyle name="Millares 3 8 2 2" xfId="2734" xr:uid="{00000000-0005-0000-0000-0000000A0000}"/>
    <cellStyle name="Millares 3 8 2 2 2" xfId="4316" xr:uid="{00000000-0005-0000-0000-0000010A0000}"/>
    <cellStyle name="Millares 3 8 2 3" xfId="1943" xr:uid="{00000000-0005-0000-0000-0000020A0000}"/>
    <cellStyle name="Millares 3 8 2 4" xfId="3525" xr:uid="{00000000-0005-0000-0000-0000030A0000}"/>
    <cellStyle name="Millares 3 8 3" xfId="2340" xr:uid="{00000000-0005-0000-0000-0000040A0000}"/>
    <cellStyle name="Millares 3 8 3 2" xfId="3922" xr:uid="{00000000-0005-0000-0000-0000050A0000}"/>
    <cellStyle name="Millares 3 8 4" xfId="1549" xr:uid="{00000000-0005-0000-0000-0000060A0000}"/>
    <cellStyle name="Millares 3 8 5" xfId="3131" xr:uid="{00000000-0005-0000-0000-0000070A0000}"/>
    <cellStyle name="Millares 3 9" xfId="778" xr:uid="{00000000-0005-0000-0000-0000080A0000}"/>
    <cellStyle name="Millares 3 9 2" xfId="2361" xr:uid="{00000000-0005-0000-0000-0000090A0000}"/>
    <cellStyle name="Millares 3 9 2 2" xfId="3943" xr:uid="{00000000-0005-0000-0000-00000A0A0000}"/>
    <cellStyle name="Millares 3 9 3" xfId="1570" xr:uid="{00000000-0005-0000-0000-00000B0A0000}"/>
    <cellStyle name="Millares 3 9 4" xfId="3152" xr:uid="{00000000-0005-0000-0000-00000C0A0000}"/>
    <cellStyle name="Millares 30" xfId="431" xr:uid="{00000000-0005-0000-0000-00000D0A0000}"/>
    <cellStyle name="Millares 30 2" xfId="507" xr:uid="{00000000-0005-0000-0000-00000E0A0000}"/>
    <cellStyle name="Millares 30 2 2" xfId="735" xr:uid="{00000000-0005-0000-0000-00000F0A0000}"/>
    <cellStyle name="Millares 30 2 2 2" xfId="1135" xr:uid="{00000000-0005-0000-0000-0000100A0000}"/>
    <cellStyle name="Millares 30 2 2 2 2" xfId="2718" xr:uid="{00000000-0005-0000-0000-0000110A0000}"/>
    <cellStyle name="Millares 30 2 2 2 2 2" xfId="4300" xr:uid="{00000000-0005-0000-0000-0000120A0000}"/>
    <cellStyle name="Millares 30 2 2 2 3" xfId="1927" xr:uid="{00000000-0005-0000-0000-0000130A0000}"/>
    <cellStyle name="Millares 30 2 2 2 4" xfId="3509" xr:uid="{00000000-0005-0000-0000-0000140A0000}"/>
    <cellStyle name="Millares 30 2 2 3" xfId="2324" xr:uid="{00000000-0005-0000-0000-0000150A0000}"/>
    <cellStyle name="Millares 30 2 2 3 2" xfId="3906" xr:uid="{00000000-0005-0000-0000-0000160A0000}"/>
    <cellStyle name="Millares 30 2 2 4" xfId="1533" xr:uid="{00000000-0005-0000-0000-0000170A0000}"/>
    <cellStyle name="Millares 30 2 2 5" xfId="3115" xr:uid="{00000000-0005-0000-0000-0000180A0000}"/>
    <cellStyle name="Millares 30 2 3" xfId="914" xr:uid="{00000000-0005-0000-0000-0000190A0000}"/>
    <cellStyle name="Millares 30 2 3 2" xfId="2497" xr:uid="{00000000-0005-0000-0000-00001A0A0000}"/>
    <cellStyle name="Millares 30 2 3 2 2" xfId="4079" xr:uid="{00000000-0005-0000-0000-00001B0A0000}"/>
    <cellStyle name="Millares 30 2 3 3" xfId="1706" xr:uid="{00000000-0005-0000-0000-00001C0A0000}"/>
    <cellStyle name="Millares 30 2 3 4" xfId="3288" xr:uid="{00000000-0005-0000-0000-00001D0A0000}"/>
    <cellStyle name="Millares 30 2 4" xfId="2103" xr:uid="{00000000-0005-0000-0000-00001E0A0000}"/>
    <cellStyle name="Millares 30 2 4 2" xfId="3685" xr:uid="{00000000-0005-0000-0000-00001F0A0000}"/>
    <cellStyle name="Millares 30 2 5" xfId="1312" xr:uid="{00000000-0005-0000-0000-0000200A0000}"/>
    <cellStyle name="Millares 30 2 6" xfId="2894" xr:uid="{00000000-0005-0000-0000-0000210A0000}"/>
    <cellStyle name="Millares 30 3" xfId="584" xr:uid="{00000000-0005-0000-0000-0000220A0000}"/>
    <cellStyle name="Millares 30 3 2" xfId="991" xr:uid="{00000000-0005-0000-0000-0000230A0000}"/>
    <cellStyle name="Millares 30 3 2 2" xfId="2574" xr:uid="{00000000-0005-0000-0000-0000240A0000}"/>
    <cellStyle name="Millares 30 3 2 2 2" xfId="4156" xr:uid="{00000000-0005-0000-0000-0000250A0000}"/>
    <cellStyle name="Millares 30 3 2 3" xfId="1783" xr:uid="{00000000-0005-0000-0000-0000260A0000}"/>
    <cellStyle name="Millares 30 3 2 4" xfId="3365" xr:uid="{00000000-0005-0000-0000-0000270A0000}"/>
    <cellStyle name="Millares 30 3 3" xfId="2180" xr:uid="{00000000-0005-0000-0000-0000280A0000}"/>
    <cellStyle name="Millares 30 3 3 2" xfId="3762" xr:uid="{00000000-0005-0000-0000-0000290A0000}"/>
    <cellStyle name="Millares 30 3 4" xfId="1389" xr:uid="{00000000-0005-0000-0000-00002A0A0000}"/>
    <cellStyle name="Millares 30 3 5" xfId="2971" xr:uid="{00000000-0005-0000-0000-00002B0A0000}"/>
    <cellStyle name="Millares 30 4" xfId="659" xr:uid="{00000000-0005-0000-0000-00002C0A0000}"/>
    <cellStyle name="Millares 30 4 2" xfId="1059" xr:uid="{00000000-0005-0000-0000-00002D0A0000}"/>
    <cellStyle name="Millares 30 4 2 2" xfId="2642" xr:uid="{00000000-0005-0000-0000-00002E0A0000}"/>
    <cellStyle name="Millares 30 4 2 2 2" xfId="4224" xr:uid="{00000000-0005-0000-0000-00002F0A0000}"/>
    <cellStyle name="Millares 30 4 2 3" xfId="1851" xr:uid="{00000000-0005-0000-0000-0000300A0000}"/>
    <cellStyle name="Millares 30 4 2 4" xfId="3433" xr:uid="{00000000-0005-0000-0000-0000310A0000}"/>
    <cellStyle name="Millares 30 4 3" xfId="2248" xr:uid="{00000000-0005-0000-0000-0000320A0000}"/>
    <cellStyle name="Millares 30 4 3 2" xfId="3830" xr:uid="{00000000-0005-0000-0000-0000330A0000}"/>
    <cellStyle name="Millares 30 4 4" xfId="1457" xr:uid="{00000000-0005-0000-0000-0000340A0000}"/>
    <cellStyle name="Millares 30 4 5" xfId="3039" xr:uid="{00000000-0005-0000-0000-0000350A0000}"/>
    <cellStyle name="Millares 30 5" xfId="838" xr:uid="{00000000-0005-0000-0000-0000360A0000}"/>
    <cellStyle name="Millares 30 5 2" xfId="2421" xr:uid="{00000000-0005-0000-0000-0000370A0000}"/>
    <cellStyle name="Millares 30 5 2 2" xfId="4003" xr:uid="{00000000-0005-0000-0000-0000380A0000}"/>
    <cellStyle name="Millares 30 5 3" xfId="1630" xr:uid="{00000000-0005-0000-0000-0000390A0000}"/>
    <cellStyle name="Millares 30 5 4" xfId="3212" xr:uid="{00000000-0005-0000-0000-00003A0A0000}"/>
    <cellStyle name="Millares 30 6" xfId="2027" xr:uid="{00000000-0005-0000-0000-00003B0A0000}"/>
    <cellStyle name="Millares 30 6 2" xfId="3609" xr:uid="{00000000-0005-0000-0000-00003C0A0000}"/>
    <cellStyle name="Millares 30 7" xfId="1236" xr:uid="{00000000-0005-0000-0000-00003D0A0000}"/>
    <cellStyle name="Millares 30 8" xfId="2818" xr:uid="{00000000-0005-0000-0000-00003E0A0000}"/>
    <cellStyle name="Millares 31" xfId="345" xr:uid="{00000000-0005-0000-0000-00003F0A0000}"/>
    <cellStyle name="Millares 31 2" xfId="466" xr:uid="{00000000-0005-0000-0000-0000400A0000}"/>
    <cellStyle name="Millares 31 2 2" xfId="694" xr:uid="{00000000-0005-0000-0000-0000410A0000}"/>
    <cellStyle name="Millares 31 2 2 2" xfId="1094" xr:uid="{00000000-0005-0000-0000-0000420A0000}"/>
    <cellStyle name="Millares 31 2 2 2 2" xfId="2677" xr:uid="{00000000-0005-0000-0000-0000430A0000}"/>
    <cellStyle name="Millares 31 2 2 2 2 2" xfId="4259" xr:uid="{00000000-0005-0000-0000-0000440A0000}"/>
    <cellStyle name="Millares 31 2 2 2 3" xfId="1886" xr:uid="{00000000-0005-0000-0000-0000450A0000}"/>
    <cellStyle name="Millares 31 2 2 2 4" xfId="3468" xr:uid="{00000000-0005-0000-0000-0000460A0000}"/>
    <cellStyle name="Millares 31 2 2 3" xfId="2283" xr:uid="{00000000-0005-0000-0000-0000470A0000}"/>
    <cellStyle name="Millares 31 2 2 3 2" xfId="3865" xr:uid="{00000000-0005-0000-0000-0000480A0000}"/>
    <cellStyle name="Millares 31 2 2 4" xfId="1492" xr:uid="{00000000-0005-0000-0000-0000490A0000}"/>
    <cellStyle name="Millares 31 2 2 5" xfId="3074" xr:uid="{00000000-0005-0000-0000-00004A0A0000}"/>
    <cellStyle name="Millares 31 2 3" xfId="873" xr:uid="{00000000-0005-0000-0000-00004B0A0000}"/>
    <cellStyle name="Millares 31 2 3 2" xfId="2456" xr:uid="{00000000-0005-0000-0000-00004C0A0000}"/>
    <cellStyle name="Millares 31 2 3 2 2" xfId="4038" xr:uid="{00000000-0005-0000-0000-00004D0A0000}"/>
    <cellStyle name="Millares 31 2 3 3" xfId="1665" xr:uid="{00000000-0005-0000-0000-00004E0A0000}"/>
    <cellStyle name="Millares 31 2 3 4" xfId="3247" xr:uid="{00000000-0005-0000-0000-00004F0A0000}"/>
    <cellStyle name="Millares 31 2 4" xfId="2062" xr:uid="{00000000-0005-0000-0000-0000500A0000}"/>
    <cellStyle name="Millares 31 2 4 2" xfId="3644" xr:uid="{00000000-0005-0000-0000-0000510A0000}"/>
    <cellStyle name="Millares 31 2 5" xfId="1271" xr:uid="{00000000-0005-0000-0000-0000520A0000}"/>
    <cellStyle name="Millares 31 2 6" xfId="2853" xr:uid="{00000000-0005-0000-0000-0000530A0000}"/>
    <cellStyle name="Millares 31 3" xfId="543" xr:uid="{00000000-0005-0000-0000-0000540A0000}"/>
    <cellStyle name="Millares 31 3 2" xfId="950" xr:uid="{00000000-0005-0000-0000-0000550A0000}"/>
    <cellStyle name="Millares 31 3 2 2" xfId="2533" xr:uid="{00000000-0005-0000-0000-0000560A0000}"/>
    <cellStyle name="Millares 31 3 2 2 2" xfId="4115" xr:uid="{00000000-0005-0000-0000-0000570A0000}"/>
    <cellStyle name="Millares 31 3 2 3" xfId="1742" xr:uid="{00000000-0005-0000-0000-0000580A0000}"/>
    <cellStyle name="Millares 31 3 2 4" xfId="3324" xr:uid="{00000000-0005-0000-0000-0000590A0000}"/>
    <cellStyle name="Millares 31 3 3" xfId="2139" xr:uid="{00000000-0005-0000-0000-00005A0A0000}"/>
    <cellStyle name="Millares 31 3 3 2" xfId="3721" xr:uid="{00000000-0005-0000-0000-00005B0A0000}"/>
    <cellStyle name="Millares 31 3 4" xfId="1348" xr:uid="{00000000-0005-0000-0000-00005C0A0000}"/>
    <cellStyle name="Millares 31 3 5" xfId="2930" xr:uid="{00000000-0005-0000-0000-00005D0A0000}"/>
    <cellStyle name="Millares 31 4" xfId="618" xr:uid="{00000000-0005-0000-0000-00005E0A0000}"/>
    <cellStyle name="Millares 31 4 2" xfId="1018" xr:uid="{00000000-0005-0000-0000-00005F0A0000}"/>
    <cellStyle name="Millares 31 4 2 2" xfId="2601" xr:uid="{00000000-0005-0000-0000-0000600A0000}"/>
    <cellStyle name="Millares 31 4 2 2 2" xfId="4183" xr:uid="{00000000-0005-0000-0000-0000610A0000}"/>
    <cellStyle name="Millares 31 4 2 3" xfId="1810" xr:uid="{00000000-0005-0000-0000-0000620A0000}"/>
    <cellStyle name="Millares 31 4 2 4" xfId="3392" xr:uid="{00000000-0005-0000-0000-0000630A0000}"/>
    <cellStyle name="Millares 31 4 3" xfId="2207" xr:uid="{00000000-0005-0000-0000-0000640A0000}"/>
    <cellStyle name="Millares 31 4 3 2" xfId="3789" xr:uid="{00000000-0005-0000-0000-0000650A0000}"/>
    <cellStyle name="Millares 31 4 4" xfId="1416" xr:uid="{00000000-0005-0000-0000-0000660A0000}"/>
    <cellStyle name="Millares 31 4 5" xfId="2998" xr:uid="{00000000-0005-0000-0000-0000670A0000}"/>
    <cellStyle name="Millares 31 5" xfId="797" xr:uid="{00000000-0005-0000-0000-0000680A0000}"/>
    <cellStyle name="Millares 31 5 2" xfId="2380" xr:uid="{00000000-0005-0000-0000-0000690A0000}"/>
    <cellStyle name="Millares 31 5 2 2" xfId="3962" xr:uid="{00000000-0005-0000-0000-00006A0A0000}"/>
    <cellStyle name="Millares 31 5 3" xfId="1589" xr:uid="{00000000-0005-0000-0000-00006B0A0000}"/>
    <cellStyle name="Millares 31 5 4" xfId="3171" xr:uid="{00000000-0005-0000-0000-00006C0A0000}"/>
    <cellStyle name="Millares 31 6" xfId="1986" xr:uid="{00000000-0005-0000-0000-00006D0A0000}"/>
    <cellStyle name="Millares 31 6 2" xfId="3568" xr:uid="{00000000-0005-0000-0000-00006E0A0000}"/>
    <cellStyle name="Millares 31 7" xfId="1195" xr:uid="{00000000-0005-0000-0000-00006F0A0000}"/>
    <cellStyle name="Millares 31 8" xfId="2777" xr:uid="{00000000-0005-0000-0000-0000700A0000}"/>
    <cellStyle name="Millares 32" xfId="355" xr:uid="{00000000-0005-0000-0000-0000710A0000}"/>
    <cellStyle name="Millares 32 2" xfId="476" xr:uid="{00000000-0005-0000-0000-0000720A0000}"/>
    <cellStyle name="Millares 32 2 2" xfId="704" xr:uid="{00000000-0005-0000-0000-0000730A0000}"/>
    <cellStyle name="Millares 32 2 2 2" xfId="1104" xr:uid="{00000000-0005-0000-0000-0000740A0000}"/>
    <cellStyle name="Millares 32 2 2 2 2" xfId="2687" xr:uid="{00000000-0005-0000-0000-0000750A0000}"/>
    <cellStyle name="Millares 32 2 2 2 2 2" xfId="4269" xr:uid="{00000000-0005-0000-0000-0000760A0000}"/>
    <cellStyle name="Millares 32 2 2 2 3" xfId="1896" xr:uid="{00000000-0005-0000-0000-0000770A0000}"/>
    <cellStyle name="Millares 32 2 2 2 4" xfId="3478" xr:uid="{00000000-0005-0000-0000-0000780A0000}"/>
    <cellStyle name="Millares 32 2 2 3" xfId="2293" xr:uid="{00000000-0005-0000-0000-0000790A0000}"/>
    <cellStyle name="Millares 32 2 2 3 2" xfId="3875" xr:uid="{00000000-0005-0000-0000-00007A0A0000}"/>
    <cellStyle name="Millares 32 2 2 4" xfId="1502" xr:uid="{00000000-0005-0000-0000-00007B0A0000}"/>
    <cellStyle name="Millares 32 2 2 5" xfId="3084" xr:uid="{00000000-0005-0000-0000-00007C0A0000}"/>
    <cellStyle name="Millares 32 2 3" xfId="883" xr:uid="{00000000-0005-0000-0000-00007D0A0000}"/>
    <cellStyle name="Millares 32 2 3 2" xfId="2466" xr:uid="{00000000-0005-0000-0000-00007E0A0000}"/>
    <cellStyle name="Millares 32 2 3 2 2" xfId="4048" xr:uid="{00000000-0005-0000-0000-00007F0A0000}"/>
    <cellStyle name="Millares 32 2 3 3" xfId="1675" xr:uid="{00000000-0005-0000-0000-0000800A0000}"/>
    <cellStyle name="Millares 32 2 3 4" xfId="3257" xr:uid="{00000000-0005-0000-0000-0000810A0000}"/>
    <cellStyle name="Millares 32 2 4" xfId="2072" xr:uid="{00000000-0005-0000-0000-0000820A0000}"/>
    <cellStyle name="Millares 32 2 4 2" xfId="3654" xr:uid="{00000000-0005-0000-0000-0000830A0000}"/>
    <cellStyle name="Millares 32 2 5" xfId="1281" xr:uid="{00000000-0005-0000-0000-0000840A0000}"/>
    <cellStyle name="Millares 32 2 6" xfId="2863" xr:uid="{00000000-0005-0000-0000-0000850A0000}"/>
    <cellStyle name="Millares 32 3" xfId="553" xr:uid="{00000000-0005-0000-0000-0000860A0000}"/>
    <cellStyle name="Millares 32 3 2" xfId="960" xr:uid="{00000000-0005-0000-0000-0000870A0000}"/>
    <cellStyle name="Millares 32 3 2 2" xfId="2543" xr:uid="{00000000-0005-0000-0000-0000880A0000}"/>
    <cellStyle name="Millares 32 3 2 2 2" xfId="4125" xr:uid="{00000000-0005-0000-0000-0000890A0000}"/>
    <cellStyle name="Millares 32 3 2 3" xfId="1752" xr:uid="{00000000-0005-0000-0000-00008A0A0000}"/>
    <cellStyle name="Millares 32 3 2 4" xfId="3334" xr:uid="{00000000-0005-0000-0000-00008B0A0000}"/>
    <cellStyle name="Millares 32 3 3" xfId="2149" xr:uid="{00000000-0005-0000-0000-00008C0A0000}"/>
    <cellStyle name="Millares 32 3 3 2" xfId="3731" xr:uid="{00000000-0005-0000-0000-00008D0A0000}"/>
    <cellStyle name="Millares 32 3 4" xfId="1358" xr:uid="{00000000-0005-0000-0000-00008E0A0000}"/>
    <cellStyle name="Millares 32 3 5" xfId="2940" xr:uid="{00000000-0005-0000-0000-00008F0A0000}"/>
    <cellStyle name="Millares 32 4" xfId="628" xr:uid="{00000000-0005-0000-0000-0000900A0000}"/>
    <cellStyle name="Millares 32 4 2" xfId="1028" xr:uid="{00000000-0005-0000-0000-0000910A0000}"/>
    <cellStyle name="Millares 32 4 2 2" xfId="2611" xr:uid="{00000000-0005-0000-0000-0000920A0000}"/>
    <cellStyle name="Millares 32 4 2 2 2" xfId="4193" xr:uid="{00000000-0005-0000-0000-0000930A0000}"/>
    <cellStyle name="Millares 32 4 2 3" xfId="1820" xr:uid="{00000000-0005-0000-0000-0000940A0000}"/>
    <cellStyle name="Millares 32 4 2 4" xfId="3402" xr:uid="{00000000-0005-0000-0000-0000950A0000}"/>
    <cellStyle name="Millares 32 4 3" xfId="2217" xr:uid="{00000000-0005-0000-0000-0000960A0000}"/>
    <cellStyle name="Millares 32 4 3 2" xfId="3799" xr:uid="{00000000-0005-0000-0000-0000970A0000}"/>
    <cellStyle name="Millares 32 4 4" xfId="1426" xr:uid="{00000000-0005-0000-0000-0000980A0000}"/>
    <cellStyle name="Millares 32 4 5" xfId="3008" xr:uid="{00000000-0005-0000-0000-0000990A0000}"/>
    <cellStyle name="Millares 32 5" xfId="807" xr:uid="{00000000-0005-0000-0000-00009A0A0000}"/>
    <cellStyle name="Millares 32 5 2" xfId="2390" xr:uid="{00000000-0005-0000-0000-00009B0A0000}"/>
    <cellStyle name="Millares 32 5 2 2" xfId="3972" xr:uid="{00000000-0005-0000-0000-00009C0A0000}"/>
    <cellStyle name="Millares 32 5 3" xfId="1599" xr:uid="{00000000-0005-0000-0000-00009D0A0000}"/>
    <cellStyle name="Millares 32 5 4" xfId="3181" xr:uid="{00000000-0005-0000-0000-00009E0A0000}"/>
    <cellStyle name="Millares 32 6" xfId="1996" xr:uid="{00000000-0005-0000-0000-00009F0A0000}"/>
    <cellStyle name="Millares 32 6 2" xfId="3578" xr:uid="{00000000-0005-0000-0000-0000A00A0000}"/>
    <cellStyle name="Millares 32 7" xfId="1205" xr:uid="{00000000-0005-0000-0000-0000A10A0000}"/>
    <cellStyle name="Millares 32 8" xfId="2787" xr:uid="{00000000-0005-0000-0000-0000A20A0000}"/>
    <cellStyle name="Millares 33" xfId="436" xr:uid="{00000000-0005-0000-0000-0000A30A0000}"/>
    <cellStyle name="Millares 33 2" xfId="512" xr:uid="{00000000-0005-0000-0000-0000A40A0000}"/>
    <cellStyle name="Millares 33 2 2" xfId="740" xr:uid="{00000000-0005-0000-0000-0000A50A0000}"/>
    <cellStyle name="Millares 33 2 2 2" xfId="1140" xr:uid="{00000000-0005-0000-0000-0000A60A0000}"/>
    <cellStyle name="Millares 33 2 2 2 2" xfId="2723" xr:uid="{00000000-0005-0000-0000-0000A70A0000}"/>
    <cellStyle name="Millares 33 2 2 2 2 2" xfId="4305" xr:uid="{00000000-0005-0000-0000-0000A80A0000}"/>
    <cellStyle name="Millares 33 2 2 2 3" xfId="1932" xr:uid="{00000000-0005-0000-0000-0000A90A0000}"/>
    <cellStyle name="Millares 33 2 2 2 4" xfId="3514" xr:uid="{00000000-0005-0000-0000-0000AA0A0000}"/>
    <cellStyle name="Millares 33 2 2 3" xfId="2329" xr:uid="{00000000-0005-0000-0000-0000AB0A0000}"/>
    <cellStyle name="Millares 33 2 2 3 2" xfId="3911" xr:uid="{00000000-0005-0000-0000-0000AC0A0000}"/>
    <cellStyle name="Millares 33 2 2 4" xfId="1538" xr:uid="{00000000-0005-0000-0000-0000AD0A0000}"/>
    <cellStyle name="Millares 33 2 2 5" xfId="3120" xr:uid="{00000000-0005-0000-0000-0000AE0A0000}"/>
    <cellStyle name="Millares 33 2 3" xfId="919" xr:uid="{00000000-0005-0000-0000-0000AF0A0000}"/>
    <cellStyle name="Millares 33 2 3 2" xfId="2502" xr:uid="{00000000-0005-0000-0000-0000B00A0000}"/>
    <cellStyle name="Millares 33 2 3 2 2" xfId="4084" xr:uid="{00000000-0005-0000-0000-0000B10A0000}"/>
    <cellStyle name="Millares 33 2 3 3" xfId="1711" xr:uid="{00000000-0005-0000-0000-0000B20A0000}"/>
    <cellStyle name="Millares 33 2 3 4" xfId="3293" xr:uid="{00000000-0005-0000-0000-0000B30A0000}"/>
    <cellStyle name="Millares 33 2 4" xfId="2108" xr:uid="{00000000-0005-0000-0000-0000B40A0000}"/>
    <cellStyle name="Millares 33 2 4 2" xfId="3690" xr:uid="{00000000-0005-0000-0000-0000B50A0000}"/>
    <cellStyle name="Millares 33 2 5" xfId="1317" xr:uid="{00000000-0005-0000-0000-0000B60A0000}"/>
    <cellStyle name="Millares 33 2 6" xfId="2899" xr:uid="{00000000-0005-0000-0000-0000B70A0000}"/>
    <cellStyle name="Millares 33 3" xfId="589" xr:uid="{00000000-0005-0000-0000-0000B80A0000}"/>
    <cellStyle name="Millares 33 3 2" xfId="996" xr:uid="{00000000-0005-0000-0000-0000B90A0000}"/>
    <cellStyle name="Millares 33 3 2 2" xfId="2579" xr:uid="{00000000-0005-0000-0000-0000BA0A0000}"/>
    <cellStyle name="Millares 33 3 2 2 2" xfId="4161" xr:uid="{00000000-0005-0000-0000-0000BB0A0000}"/>
    <cellStyle name="Millares 33 3 2 3" xfId="1788" xr:uid="{00000000-0005-0000-0000-0000BC0A0000}"/>
    <cellStyle name="Millares 33 3 2 4" xfId="3370" xr:uid="{00000000-0005-0000-0000-0000BD0A0000}"/>
    <cellStyle name="Millares 33 3 3" xfId="2185" xr:uid="{00000000-0005-0000-0000-0000BE0A0000}"/>
    <cellStyle name="Millares 33 3 3 2" xfId="3767" xr:uid="{00000000-0005-0000-0000-0000BF0A0000}"/>
    <cellStyle name="Millares 33 3 4" xfId="1394" xr:uid="{00000000-0005-0000-0000-0000C00A0000}"/>
    <cellStyle name="Millares 33 3 5" xfId="2976" xr:uid="{00000000-0005-0000-0000-0000C10A0000}"/>
    <cellStyle name="Millares 33 4" xfId="664" xr:uid="{00000000-0005-0000-0000-0000C20A0000}"/>
    <cellStyle name="Millares 33 4 2" xfId="1064" xr:uid="{00000000-0005-0000-0000-0000C30A0000}"/>
    <cellStyle name="Millares 33 4 2 2" xfId="2647" xr:uid="{00000000-0005-0000-0000-0000C40A0000}"/>
    <cellStyle name="Millares 33 4 2 2 2" xfId="4229" xr:uid="{00000000-0005-0000-0000-0000C50A0000}"/>
    <cellStyle name="Millares 33 4 2 3" xfId="1856" xr:uid="{00000000-0005-0000-0000-0000C60A0000}"/>
    <cellStyle name="Millares 33 4 2 4" xfId="3438" xr:uid="{00000000-0005-0000-0000-0000C70A0000}"/>
    <cellStyle name="Millares 33 4 3" xfId="2253" xr:uid="{00000000-0005-0000-0000-0000C80A0000}"/>
    <cellStyle name="Millares 33 4 3 2" xfId="3835" xr:uid="{00000000-0005-0000-0000-0000C90A0000}"/>
    <cellStyle name="Millares 33 4 4" xfId="1462" xr:uid="{00000000-0005-0000-0000-0000CA0A0000}"/>
    <cellStyle name="Millares 33 4 5" xfId="3044" xr:uid="{00000000-0005-0000-0000-0000CB0A0000}"/>
    <cellStyle name="Millares 33 5" xfId="843" xr:uid="{00000000-0005-0000-0000-0000CC0A0000}"/>
    <cellStyle name="Millares 33 5 2" xfId="2426" xr:uid="{00000000-0005-0000-0000-0000CD0A0000}"/>
    <cellStyle name="Millares 33 5 2 2" xfId="4008" xr:uid="{00000000-0005-0000-0000-0000CE0A0000}"/>
    <cellStyle name="Millares 33 5 3" xfId="1635" xr:uid="{00000000-0005-0000-0000-0000CF0A0000}"/>
    <cellStyle name="Millares 33 5 4" xfId="3217" xr:uid="{00000000-0005-0000-0000-0000D00A0000}"/>
    <cellStyle name="Millares 33 6" xfId="2032" xr:uid="{00000000-0005-0000-0000-0000D10A0000}"/>
    <cellStyle name="Millares 33 6 2" xfId="3614" xr:uid="{00000000-0005-0000-0000-0000D20A0000}"/>
    <cellStyle name="Millares 33 7" xfId="1241" xr:uid="{00000000-0005-0000-0000-0000D30A0000}"/>
    <cellStyle name="Millares 33 8" xfId="2823" xr:uid="{00000000-0005-0000-0000-0000D40A0000}"/>
    <cellStyle name="Millares 34" xfId="364" xr:uid="{00000000-0005-0000-0000-0000D50A0000}"/>
    <cellStyle name="Millares 34 2" xfId="482" xr:uid="{00000000-0005-0000-0000-0000D60A0000}"/>
    <cellStyle name="Millares 34 2 2" xfId="710" xr:uid="{00000000-0005-0000-0000-0000D70A0000}"/>
    <cellStyle name="Millares 34 2 2 2" xfId="1110" xr:uid="{00000000-0005-0000-0000-0000D80A0000}"/>
    <cellStyle name="Millares 34 2 2 2 2" xfId="2693" xr:uid="{00000000-0005-0000-0000-0000D90A0000}"/>
    <cellStyle name="Millares 34 2 2 2 2 2" xfId="4275" xr:uid="{00000000-0005-0000-0000-0000DA0A0000}"/>
    <cellStyle name="Millares 34 2 2 2 3" xfId="1902" xr:uid="{00000000-0005-0000-0000-0000DB0A0000}"/>
    <cellStyle name="Millares 34 2 2 2 4" xfId="3484" xr:uid="{00000000-0005-0000-0000-0000DC0A0000}"/>
    <cellStyle name="Millares 34 2 2 3" xfId="2299" xr:uid="{00000000-0005-0000-0000-0000DD0A0000}"/>
    <cellStyle name="Millares 34 2 2 3 2" xfId="3881" xr:uid="{00000000-0005-0000-0000-0000DE0A0000}"/>
    <cellStyle name="Millares 34 2 2 4" xfId="1508" xr:uid="{00000000-0005-0000-0000-0000DF0A0000}"/>
    <cellStyle name="Millares 34 2 2 5" xfId="3090" xr:uid="{00000000-0005-0000-0000-0000E00A0000}"/>
    <cellStyle name="Millares 34 2 3" xfId="889" xr:uid="{00000000-0005-0000-0000-0000E10A0000}"/>
    <cellStyle name="Millares 34 2 3 2" xfId="2472" xr:uid="{00000000-0005-0000-0000-0000E20A0000}"/>
    <cellStyle name="Millares 34 2 3 2 2" xfId="4054" xr:uid="{00000000-0005-0000-0000-0000E30A0000}"/>
    <cellStyle name="Millares 34 2 3 3" xfId="1681" xr:uid="{00000000-0005-0000-0000-0000E40A0000}"/>
    <cellStyle name="Millares 34 2 3 4" xfId="3263" xr:uid="{00000000-0005-0000-0000-0000E50A0000}"/>
    <cellStyle name="Millares 34 2 4" xfId="2078" xr:uid="{00000000-0005-0000-0000-0000E60A0000}"/>
    <cellStyle name="Millares 34 2 4 2" xfId="3660" xr:uid="{00000000-0005-0000-0000-0000E70A0000}"/>
    <cellStyle name="Millares 34 2 5" xfId="1287" xr:uid="{00000000-0005-0000-0000-0000E80A0000}"/>
    <cellStyle name="Millares 34 2 6" xfId="2869" xr:uid="{00000000-0005-0000-0000-0000E90A0000}"/>
    <cellStyle name="Millares 34 3" xfId="559" xr:uid="{00000000-0005-0000-0000-0000EA0A0000}"/>
    <cellStyle name="Millares 34 3 2" xfId="966" xr:uid="{00000000-0005-0000-0000-0000EB0A0000}"/>
    <cellStyle name="Millares 34 3 2 2" xfId="2549" xr:uid="{00000000-0005-0000-0000-0000EC0A0000}"/>
    <cellStyle name="Millares 34 3 2 2 2" xfId="4131" xr:uid="{00000000-0005-0000-0000-0000ED0A0000}"/>
    <cellStyle name="Millares 34 3 2 3" xfId="1758" xr:uid="{00000000-0005-0000-0000-0000EE0A0000}"/>
    <cellStyle name="Millares 34 3 2 4" xfId="3340" xr:uid="{00000000-0005-0000-0000-0000EF0A0000}"/>
    <cellStyle name="Millares 34 3 3" xfId="2155" xr:uid="{00000000-0005-0000-0000-0000F00A0000}"/>
    <cellStyle name="Millares 34 3 3 2" xfId="3737" xr:uid="{00000000-0005-0000-0000-0000F10A0000}"/>
    <cellStyle name="Millares 34 3 4" xfId="1364" xr:uid="{00000000-0005-0000-0000-0000F20A0000}"/>
    <cellStyle name="Millares 34 3 5" xfId="2946" xr:uid="{00000000-0005-0000-0000-0000F30A0000}"/>
    <cellStyle name="Millares 34 4" xfId="634" xr:uid="{00000000-0005-0000-0000-0000F40A0000}"/>
    <cellStyle name="Millares 34 4 2" xfId="1034" xr:uid="{00000000-0005-0000-0000-0000F50A0000}"/>
    <cellStyle name="Millares 34 4 2 2" xfId="2617" xr:uid="{00000000-0005-0000-0000-0000F60A0000}"/>
    <cellStyle name="Millares 34 4 2 2 2" xfId="4199" xr:uid="{00000000-0005-0000-0000-0000F70A0000}"/>
    <cellStyle name="Millares 34 4 2 3" xfId="1826" xr:uid="{00000000-0005-0000-0000-0000F80A0000}"/>
    <cellStyle name="Millares 34 4 2 4" xfId="3408" xr:uid="{00000000-0005-0000-0000-0000F90A0000}"/>
    <cellStyle name="Millares 34 4 3" xfId="2223" xr:uid="{00000000-0005-0000-0000-0000FA0A0000}"/>
    <cellStyle name="Millares 34 4 3 2" xfId="3805" xr:uid="{00000000-0005-0000-0000-0000FB0A0000}"/>
    <cellStyle name="Millares 34 4 4" xfId="1432" xr:uid="{00000000-0005-0000-0000-0000FC0A0000}"/>
    <cellStyle name="Millares 34 4 5" xfId="3014" xr:uid="{00000000-0005-0000-0000-0000FD0A0000}"/>
    <cellStyle name="Millares 34 5" xfId="813" xr:uid="{00000000-0005-0000-0000-0000FE0A0000}"/>
    <cellStyle name="Millares 34 5 2" xfId="2396" xr:uid="{00000000-0005-0000-0000-0000FF0A0000}"/>
    <cellStyle name="Millares 34 5 2 2" xfId="3978" xr:uid="{00000000-0005-0000-0000-0000000B0000}"/>
    <cellStyle name="Millares 34 5 3" xfId="1605" xr:uid="{00000000-0005-0000-0000-0000010B0000}"/>
    <cellStyle name="Millares 34 5 4" xfId="3187" xr:uid="{00000000-0005-0000-0000-0000020B0000}"/>
    <cellStyle name="Millares 34 6" xfId="2002" xr:uid="{00000000-0005-0000-0000-0000030B0000}"/>
    <cellStyle name="Millares 34 6 2" xfId="3584" xr:uid="{00000000-0005-0000-0000-0000040B0000}"/>
    <cellStyle name="Millares 34 7" xfId="1211" xr:uid="{00000000-0005-0000-0000-0000050B0000}"/>
    <cellStyle name="Millares 34 8" xfId="2793" xr:uid="{00000000-0005-0000-0000-0000060B0000}"/>
    <cellStyle name="Millares 35" xfId="352" xr:uid="{00000000-0005-0000-0000-0000070B0000}"/>
    <cellStyle name="Millares 35 2" xfId="473" xr:uid="{00000000-0005-0000-0000-0000080B0000}"/>
    <cellStyle name="Millares 35 2 2" xfId="701" xr:uid="{00000000-0005-0000-0000-0000090B0000}"/>
    <cellStyle name="Millares 35 2 2 2" xfId="1101" xr:uid="{00000000-0005-0000-0000-00000A0B0000}"/>
    <cellStyle name="Millares 35 2 2 2 2" xfId="2684" xr:uid="{00000000-0005-0000-0000-00000B0B0000}"/>
    <cellStyle name="Millares 35 2 2 2 2 2" xfId="4266" xr:uid="{00000000-0005-0000-0000-00000C0B0000}"/>
    <cellStyle name="Millares 35 2 2 2 3" xfId="1893" xr:uid="{00000000-0005-0000-0000-00000D0B0000}"/>
    <cellStyle name="Millares 35 2 2 2 4" xfId="3475" xr:uid="{00000000-0005-0000-0000-00000E0B0000}"/>
    <cellStyle name="Millares 35 2 2 3" xfId="2290" xr:uid="{00000000-0005-0000-0000-00000F0B0000}"/>
    <cellStyle name="Millares 35 2 2 3 2" xfId="3872" xr:uid="{00000000-0005-0000-0000-0000100B0000}"/>
    <cellStyle name="Millares 35 2 2 4" xfId="1499" xr:uid="{00000000-0005-0000-0000-0000110B0000}"/>
    <cellStyle name="Millares 35 2 2 5" xfId="3081" xr:uid="{00000000-0005-0000-0000-0000120B0000}"/>
    <cellStyle name="Millares 35 2 3" xfId="880" xr:uid="{00000000-0005-0000-0000-0000130B0000}"/>
    <cellStyle name="Millares 35 2 3 2" xfId="2463" xr:uid="{00000000-0005-0000-0000-0000140B0000}"/>
    <cellStyle name="Millares 35 2 3 2 2" xfId="4045" xr:uid="{00000000-0005-0000-0000-0000150B0000}"/>
    <cellStyle name="Millares 35 2 3 3" xfId="1672" xr:uid="{00000000-0005-0000-0000-0000160B0000}"/>
    <cellStyle name="Millares 35 2 3 4" xfId="3254" xr:uid="{00000000-0005-0000-0000-0000170B0000}"/>
    <cellStyle name="Millares 35 2 4" xfId="2069" xr:uid="{00000000-0005-0000-0000-0000180B0000}"/>
    <cellStyle name="Millares 35 2 4 2" xfId="3651" xr:uid="{00000000-0005-0000-0000-0000190B0000}"/>
    <cellStyle name="Millares 35 2 5" xfId="1278" xr:uid="{00000000-0005-0000-0000-00001A0B0000}"/>
    <cellStyle name="Millares 35 2 6" xfId="2860" xr:uid="{00000000-0005-0000-0000-00001B0B0000}"/>
    <cellStyle name="Millares 35 3" xfId="550" xr:uid="{00000000-0005-0000-0000-00001C0B0000}"/>
    <cellStyle name="Millares 35 3 2" xfId="957" xr:uid="{00000000-0005-0000-0000-00001D0B0000}"/>
    <cellStyle name="Millares 35 3 2 2" xfId="2540" xr:uid="{00000000-0005-0000-0000-00001E0B0000}"/>
    <cellStyle name="Millares 35 3 2 2 2" xfId="4122" xr:uid="{00000000-0005-0000-0000-00001F0B0000}"/>
    <cellStyle name="Millares 35 3 2 3" xfId="1749" xr:uid="{00000000-0005-0000-0000-0000200B0000}"/>
    <cellStyle name="Millares 35 3 2 4" xfId="3331" xr:uid="{00000000-0005-0000-0000-0000210B0000}"/>
    <cellStyle name="Millares 35 3 3" xfId="2146" xr:uid="{00000000-0005-0000-0000-0000220B0000}"/>
    <cellStyle name="Millares 35 3 3 2" xfId="3728" xr:uid="{00000000-0005-0000-0000-0000230B0000}"/>
    <cellStyle name="Millares 35 3 4" xfId="1355" xr:uid="{00000000-0005-0000-0000-0000240B0000}"/>
    <cellStyle name="Millares 35 3 5" xfId="2937" xr:uid="{00000000-0005-0000-0000-0000250B0000}"/>
    <cellStyle name="Millares 35 4" xfId="625" xr:uid="{00000000-0005-0000-0000-0000260B0000}"/>
    <cellStyle name="Millares 35 4 2" xfId="1025" xr:uid="{00000000-0005-0000-0000-0000270B0000}"/>
    <cellStyle name="Millares 35 4 2 2" xfId="2608" xr:uid="{00000000-0005-0000-0000-0000280B0000}"/>
    <cellStyle name="Millares 35 4 2 2 2" xfId="4190" xr:uid="{00000000-0005-0000-0000-0000290B0000}"/>
    <cellStyle name="Millares 35 4 2 3" xfId="1817" xr:uid="{00000000-0005-0000-0000-00002A0B0000}"/>
    <cellStyle name="Millares 35 4 2 4" xfId="3399" xr:uid="{00000000-0005-0000-0000-00002B0B0000}"/>
    <cellStyle name="Millares 35 4 3" xfId="2214" xr:uid="{00000000-0005-0000-0000-00002C0B0000}"/>
    <cellStyle name="Millares 35 4 3 2" xfId="3796" xr:uid="{00000000-0005-0000-0000-00002D0B0000}"/>
    <cellStyle name="Millares 35 4 4" xfId="1423" xr:uid="{00000000-0005-0000-0000-00002E0B0000}"/>
    <cellStyle name="Millares 35 4 5" xfId="3005" xr:uid="{00000000-0005-0000-0000-00002F0B0000}"/>
    <cellStyle name="Millares 35 5" xfId="804" xr:uid="{00000000-0005-0000-0000-0000300B0000}"/>
    <cellStyle name="Millares 35 5 2" xfId="2387" xr:uid="{00000000-0005-0000-0000-0000310B0000}"/>
    <cellStyle name="Millares 35 5 2 2" xfId="3969" xr:uid="{00000000-0005-0000-0000-0000320B0000}"/>
    <cellStyle name="Millares 35 5 3" xfId="1596" xr:uid="{00000000-0005-0000-0000-0000330B0000}"/>
    <cellStyle name="Millares 35 5 4" xfId="3178" xr:uid="{00000000-0005-0000-0000-0000340B0000}"/>
    <cellStyle name="Millares 35 6" xfId="1993" xr:uid="{00000000-0005-0000-0000-0000350B0000}"/>
    <cellStyle name="Millares 35 6 2" xfId="3575" xr:uid="{00000000-0005-0000-0000-0000360B0000}"/>
    <cellStyle name="Millares 35 7" xfId="1202" xr:uid="{00000000-0005-0000-0000-0000370B0000}"/>
    <cellStyle name="Millares 35 8" xfId="2784" xr:uid="{00000000-0005-0000-0000-0000380B0000}"/>
    <cellStyle name="Millares 36" xfId="348" xr:uid="{00000000-0005-0000-0000-0000390B0000}"/>
    <cellStyle name="Millares 36 2" xfId="469" xr:uid="{00000000-0005-0000-0000-00003A0B0000}"/>
    <cellStyle name="Millares 36 2 2" xfId="697" xr:uid="{00000000-0005-0000-0000-00003B0B0000}"/>
    <cellStyle name="Millares 36 2 2 2" xfId="1097" xr:uid="{00000000-0005-0000-0000-00003C0B0000}"/>
    <cellStyle name="Millares 36 2 2 2 2" xfId="2680" xr:uid="{00000000-0005-0000-0000-00003D0B0000}"/>
    <cellStyle name="Millares 36 2 2 2 2 2" xfId="4262" xr:uid="{00000000-0005-0000-0000-00003E0B0000}"/>
    <cellStyle name="Millares 36 2 2 2 3" xfId="1889" xr:uid="{00000000-0005-0000-0000-00003F0B0000}"/>
    <cellStyle name="Millares 36 2 2 2 4" xfId="3471" xr:uid="{00000000-0005-0000-0000-0000400B0000}"/>
    <cellStyle name="Millares 36 2 2 3" xfId="2286" xr:uid="{00000000-0005-0000-0000-0000410B0000}"/>
    <cellStyle name="Millares 36 2 2 3 2" xfId="3868" xr:uid="{00000000-0005-0000-0000-0000420B0000}"/>
    <cellStyle name="Millares 36 2 2 4" xfId="1495" xr:uid="{00000000-0005-0000-0000-0000430B0000}"/>
    <cellStyle name="Millares 36 2 2 5" xfId="3077" xr:uid="{00000000-0005-0000-0000-0000440B0000}"/>
    <cellStyle name="Millares 36 2 3" xfId="876" xr:uid="{00000000-0005-0000-0000-0000450B0000}"/>
    <cellStyle name="Millares 36 2 3 2" xfId="2459" xr:uid="{00000000-0005-0000-0000-0000460B0000}"/>
    <cellStyle name="Millares 36 2 3 2 2" xfId="4041" xr:uid="{00000000-0005-0000-0000-0000470B0000}"/>
    <cellStyle name="Millares 36 2 3 3" xfId="1668" xr:uid="{00000000-0005-0000-0000-0000480B0000}"/>
    <cellStyle name="Millares 36 2 3 4" xfId="3250" xr:uid="{00000000-0005-0000-0000-0000490B0000}"/>
    <cellStyle name="Millares 36 2 4" xfId="2065" xr:uid="{00000000-0005-0000-0000-00004A0B0000}"/>
    <cellStyle name="Millares 36 2 4 2" xfId="3647" xr:uid="{00000000-0005-0000-0000-00004B0B0000}"/>
    <cellStyle name="Millares 36 2 5" xfId="1274" xr:uid="{00000000-0005-0000-0000-00004C0B0000}"/>
    <cellStyle name="Millares 36 2 6" xfId="2856" xr:uid="{00000000-0005-0000-0000-00004D0B0000}"/>
    <cellStyle name="Millares 36 3" xfId="546" xr:uid="{00000000-0005-0000-0000-00004E0B0000}"/>
    <cellStyle name="Millares 36 3 2" xfId="953" xr:uid="{00000000-0005-0000-0000-00004F0B0000}"/>
    <cellStyle name="Millares 36 3 2 2" xfId="2536" xr:uid="{00000000-0005-0000-0000-0000500B0000}"/>
    <cellStyle name="Millares 36 3 2 2 2" xfId="4118" xr:uid="{00000000-0005-0000-0000-0000510B0000}"/>
    <cellStyle name="Millares 36 3 2 3" xfId="1745" xr:uid="{00000000-0005-0000-0000-0000520B0000}"/>
    <cellStyle name="Millares 36 3 2 4" xfId="3327" xr:uid="{00000000-0005-0000-0000-0000530B0000}"/>
    <cellStyle name="Millares 36 3 3" xfId="2142" xr:uid="{00000000-0005-0000-0000-0000540B0000}"/>
    <cellStyle name="Millares 36 3 3 2" xfId="3724" xr:uid="{00000000-0005-0000-0000-0000550B0000}"/>
    <cellStyle name="Millares 36 3 4" xfId="1351" xr:uid="{00000000-0005-0000-0000-0000560B0000}"/>
    <cellStyle name="Millares 36 3 5" xfId="2933" xr:uid="{00000000-0005-0000-0000-0000570B0000}"/>
    <cellStyle name="Millares 36 4" xfId="621" xr:uid="{00000000-0005-0000-0000-0000580B0000}"/>
    <cellStyle name="Millares 36 4 2" xfId="1021" xr:uid="{00000000-0005-0000-0000-0000590B0000}"/>
    <cellStyle name="Millares 36 4 2 2" xfId="2604" xr:uid="{00000000-0005-0000-0000-00005A0B0000}"/>
    <cellStyle name="Millares 36 4 2 2 2" xfId="4186" xr:uid="{00000000-0005-0000-0000-00005B0B0000}"/>
    <cellStyle name="Millares 36 4 2 3" xfId="1813" xr:uid="{00000000-0005-0000-0000-00005C0B0000}"/>
    <cellStyle name="Millares 36 4 2 4" xfId="3395" xr:uid="{00000000-0005-0000-0000-00005D0B0000}"/>
    <cellStyle name="Millares 36 4 3" xfId="2210" xr:uid="{00000000-0005-0000-0000-00005E0B0000}"/>
    <cellStyle name="Millares 36 4 3 2" xfId="3792" xr:uid="{00000000-0005-0000-0000-00005F0B0000}"/>
    <cellStyle name="Millares 36 4 4" xfId="1419" xr:uid="{00000000-0005-0000-0000-0000600B0000}"/>
    <cellStyle name="Millares 36 4 5" xfId="3001" xr:uid="{00000000-0005-0000-0000-0000610B0000}"/>
    <cellStyle name="Millares 36 5" xfId="800" xr:uid="{00000000-0005-0000-0000-0000620B0000}"/>
    <cellStyle name="Millares 36 5 2" xfId="2383" xr:uid="{00000000-0005-0000-0000-0000630B0000}"/>
    <cellStyle name="Millares 36 5 2 2" xfId="3965" xr:uid="{00000000-0005-0000-0000-0000640B0000}"/>
    <cellStyle name="Millares 36 5 3" xfId="1592" xr:uid="{00000000-0005-0000-0000-0000650B0000}"/>
    <cellStyle name="Millares 36 5 4" xfId="3174" xr:uid="{00000000-0005-0000-0000-0000660B0000}"/>
    <cellStyle name="Millares 36 6" xfId="1989" xr:uid="{00000000-0005-0000-0000-0000670B0000}"/>
    <cellStyle name="Millares 36 6 2" xfId="3571" xr:uid="{00000000-0005-0000-0000-0000680B0000}"/>
    <cellStyle name="Millares 36 7" xfId="1198" xr:uid="{00000000-0005-0000-0000-0000690B0000}"/>
    <cellStyle name="Millares 36 8" xfId="2780" xr:uid="{00000000-0005-0000-0000-00006A0B0000}"/>
    <cellStyle name="Millares 37" xfId="367" xr:uid="{00000000-0005-0000-0000-00006B0B0000}"/>
    <cellStyle name="Millares 37 2" xfId="485" xr:uid="{00000000-0005-0000-0000-00006C0B0000}"/>
    <cellStyle name="Millares 37 2 2" xfId="713" xr:uid="{00000000-0005-0000-0000-00006D0B0000}"/>
    <cellStyle name="Millares 37 2 2 2" xfId="1113" xr:uid="{00000000-0005-0000-0000-00006E0B0000}"/>
    <cellStyle name="Millares 37 2 2 2 2" xfId="2696" xr:uid="{00000000-0005-0000-0000-00006F0B0000}"/>
    <cellStyle name="Millares 37 2 2 2 2 2" xfId="4278" xr:uid="{00000000-0005-0000-0000-0000700B0000}"/>
    <cellStyle name="Millares 37 2 2 2 3" xfId="1905" xr:uid="{00000000-0005-0000-0000-0000710B0000}"/>
    <cellStyle name="Millares 37 2 2 2 4" xfId="3487" xr:uid="{00000000-0005-0000-0000-0000720B0000}"/>
    <cellStyle name="Millares 37 2 2 3" xfId="2302" xr:uid="{00000000-0005-0000-0000-0000730B0000}"/>
    <cellStyle name="Millares 37 2 2 3 2" xfId="3884" xr:uid="{00000000-0005-0000-0000-0000740B0000}"/>
    <cellStyle name="Millares 37 2 2 4" xfId="1511" xr:uid="{00000000-0005-0000-0000-0000750B0000}"/>
    <cellStyle name="Millares 37 2 2 5" xfId="3093" xr:uid="{00000000-0005-0000-0000-0000760B0000}"/>
    <cellStyle name="Millares 37 2 3" xfId="892" xr:uid="{00000000-0005-0000-0000-0000770B0000}"/>
    <cellStyle name="Millares 37 2 3 2" xfId="2475" xr:uid="{00000000-0005-0000-0000-0000780B0000}"/>
    <cellStyle name="Millares 37 2 3 2 2" xfId="4057" xr:uid="{00000000-0005-0000-0000-0000790B0000}"/>
    <cellStyle name="Millares 37 2 3 3" xfId="1684" xr:uid="{00000000-0005-0000-0000-00007A0B0000}"/>
    <cellStyle name="Millares 37 2 3 4" xfId="3266" xr:uid="{00000000-0005-0000-0000-00007B0B0000}"/>
    <cellStyle name="Millares 37 2 4" xfId="2081" xr:uid="{00000000-0005-0000-0000-00007C0B0000}"/>
    <cellStyle name="Millares 37 2 4 2" xfId="3663" xr:uid="{00000000-0005-0000-0000-00007D0B0000}"/>
    <cellStyle name="Millares 37 2 5" xfId="1290" xr:uid="{00000000-0005-0000-0000-00007E0B0000}"/>
    <cellStyle name="Millares 37 2 6" xfId="2872" xr:uid="{00000000-0005-0000-0000-00007F0B0000}"/>
    <cellStyle name="Millares 37 3" xfId="562" xr:uid="{00000000-0005-0000-0000-0000800B0000}"/>
    <cellStyle name="Millares 37 3 2" xfId="969" xr:uid="{00000000-0005-0000-0000-0000810B0000}"/>
    <cellStyle name="Millares 37 3 2 2" xfId="2552" xr:uid="{00000000-0005-0000-0000-0000820B0000}"/>
    <cellStyle name="Millares 37 3 2 2 2" xfId="4134" xr:uid="{00000000-0005-0000-0000-0000830B0000}"/>
    <cellStyle name="Millares 37 3 2 3" xfId="1761" xr:uid="{00000000-0005-0000-0000-0000840B0000}"/>
    <cellStyle name="Millares 37 3 2 4" xfId="3343" xr:uid="{00000000-0005-0000-0000-0000850B0000}"/>
    <cellStyle name="Millares 37 3 3" xfId="2158" xr:uid="{00000000-0005-0000-0000-0000860B0000}"/>
    <cellStyle name="Millares 37 3 3 2" xfId="3740" xr:uid="{00000000-0005-0000-0000-0000870B0000}"/>
    <cellStyle name="Millares 37 3 4" xfId="1367" xr:uid="{00000000-0005-0000-0000-0000880B0000}"/>
    <cellStyle name="Millares 37 3 5" xfId="2949" xr:uid="{00000000-0005-0000-0000-0000890B0000}"/>
    <cellStyle name="Millares 37 4" xfId="637" xr:uid="{00000000-0005-0000-0000-00008A0B0000}"/>
    <cellStyle name="Millares 37 4 2" xfId="1037" xr:uid="{00000000-0005-0000-0000-00008B0B0000}"/>
    <cellStyle name="Millares 37 4 2 2" xfId="2620" xr:uid="{00000000-0005-0000-0000-00008C0B0000}"/>
    <cellStyle name="Millares 37 4 2 2 2" xfId="4202" xr:uid="{00000000-0005-0000-0000-00008D0B0000}"/>
    <cellStyle name="Millares 37 4 2 3" xfId="1829" xr:uid="{00000000-0005-0000-0000-00008E0B0000}"/>
    <cellStyle name="Millares 37 4 2 4" xfId="3411" xr:uid="{00000000-0005-0000-0000-00008F0B0000}"/>
    <cellStyle name="Millares 37 4 3" xfId="2226" xr:uid="{00000000-0005-0000-0000-0000900B0000}"/>
    <cellStyle name="Millares 37 4 3 2" xfId="3808" xr:uid="{00000000-0005-0000-0000-0000910B0000}"/>
    <cellStyle name="Millares 37 4 4" xfId="1435" xr:uid="{00000000-0005-0000-0000-0000920B0000}"/>
    <cellStyle name="Millares 37 4 5" xfId="3017" xr:uid="{00000000-0005-0000-0000-0000930B0000}"/>
    <cellStyle name="Millares 37 5" xfId="816" xr:uid="{00000000-0005-0000-0000-0000940B0000}"/>
    <cellStyle name="Millares 37 5 2" xfId="2399" xr:uid="{00000000-0005-0000-0000-0000950B0000}"/>
    <cellStyle name="Millares 37 5 2 2" xfId="3981" xr:uid="{00000000-0005-0000-0000-0000960B0000}"/>
    <cellStyle name="Millares 37 5 3" xfId="1608" xr:uid="{00000000-0005-0000-0000-0000970B0000}"/>
    <cellStyle name="Millares 37 5 4" xfId="3190" xr:uid="{00000000-0005-0000-0000-0000980B0000}"/>
    <cellStyle name="Millares 37 6" xfId="2005" xr:uid="{00000000-0005-0000-0000-0000990B0000}"/>
    <cellStyle name="Millares 37 6 2" xfId="3587" xr:uid="{00000000-0005-0000-0000-00009A0B0000}"/>
    <cellStyle name="Millares 37 7" xfId="1214" xr:uid="{00000000-0005-0000-0000-00009B0B0000}"/>
    <cellStyle name="Millares 37 8" xfId="2796" xr:uid="{00000000-0005-0000-0000-00009C0B0000}"/>
    <cellStyle name="Millares 38" xfId="349" xr:uid="{00000000-0005-0000-0000-00009D0B0000}"/>
    <cellStyle name="Millares 38 2" xfId="470" xr:uid="{00000000-0005-0000-0000-00009E0B0000}"/>
    <cellStyle name="Millares 38 2 2" xfId="698" xr:uid="{00000000-0005-0000-0000-00009F0B0000}"/>
    <cellStyle name="Millares 38 2 2 2" xfId="1098" xr:uid="{00000000-0005-0000-0000-0000A00B0000}"/>
    <cellStyle name="Millares 38 2 2 2 2" xfId="2681" xr:uid="{00000000-0005-0000-0000-0000A10B0000}"/>
    <cellStyle name="Millares 38 2 2 2 2 2" xfId="4263" xr:uid="{00000000-0005-0000-0000-0000A20B0000}"/>
    <cellStyle name="Millares 38 2 2 2 3" xfId="1890" xr:uid="{00000000-0005-0000-0000-0000A30B0000}"/>
    <cellStyle name="Millares 38 2 2 2 4" xfId="3472" xr:uid="{00000000-0005-0000-0000-0000A40B0000}"/>
    <cellStyle name="Millares 38 2 2 3" xfId="2287" xr:uid="{00000000-0005-0000-0000-0000A50B0000}"/>
    <cellStyle name="Millares 38 2 2 3 2" xfId="3869" xr:uid="{00000000-0005-0000-0000-0000A60B0000}"/>
    <cellStyle name="Millares 38 2 2 4" xfId="1496" xr:uid="{00000000-0005-0000-0000-0000A70B0000}"/>
    <cellStyle name="Millares 38 2 2 5" xfId="3078" xr:uid="{00000000-0005-0000-0000-0000A80B0000}"/>
    <cellStyle name="Millares 38 2 3" xfId="877" xr:uid="{00000000-0005-0000-0000-0000A90B0000}"/>
    <cellStyle name="Millares 38 2 3 2" xfId="2460" xr:uid="{00000000-0005-0000-0000-0000AA0B0000}"/>
    <cellStyle name="Millares 38 2 3 2 2" xfId="4042" xr:uid="{00000000-0005-0000-0000-0000AB0B0000}"/>
    <cellStyle name="Millares 38 2 3 3" xfId="1669" xr:uid="{00000000-0005-0000-0000-0000AC0B0000}"/>
    <cellStyle name="Millares 38 2 3 4" xfId="3251" xr:uid="{00000000-0005-0000-0000-0000AD0B0000}"/>
    <cellStyle name="Millares 38 2 4" xfId="2066" xr:uid="{00000000-0005-0000-0000-0000AE0B0000}"/>
    <cellStyle name="Millares 38 2 4 2" xfId="3648" xr:uid="{00000000-0005-0000-0000-0000AF0B0000}"/>
    <cellStyle name="Millares 38 2 5" xfId="1275" xr:uid="{00000000-0005-0000-0000-0000B00B0000}"/>
    <cellStyle name="Millares 38 2 6" xfId="2857" xr:uid="{00000000-0005-0000-0000-0000B10B0000}"/>
    <cellStyle name="Millares 38 3" xfId="547" xr:uid="{00000000-0005-0000-0000-0000B20B0000}"/>
    <cellStyle name="Millares 38 3 2" xfId="954" xr:uid="{00000000-0005-0000-0000-0000B30B0000}"/>
    <cellStyle name="Millares 38 3 2 2" xfId="2537" xr:uid="{00000000-0005-0000-0000-0000B40B0000}"/>
    <cellStyle name="Millares 38 3 2 2 2" xfId="4119" xr:uid="{00000000-0005-0000-0000-0000B50B0000}"/>
    <cellStyle name="Millares 38 3 2 3" xfId="1746" xr:uid="{00000000-0005-0000-0000-0000B60B0000}"/>
    <cellStyle name="Millares 38 3 2 4" xfId="3328" xr:uid="{00000000-0005-0000-0000-0000B70B0000}"/>
    <cellStyle name="Millares 38 3 3" xfId="2143" xr:uid="{00000000-0005-0000-0000-0000B80B0000}"/>
    <cellStyle name="Millares 38 3 3 2" xfId="3725" xr:uid="{00000000-0005-0000-0000-0000B90B0000}"/>
    <cellStyle name="Millares 38 3 4" xfId="1352" xr:uid="{00000000-0005-0000-0000-0000BA0B0000}"/>
    <cellStyle name="Millares 38 3 5" xfId="2934" xr:uid="{00000000-0005-0000-0000-0000BB0B0000}"/>
    <cellStyle name="Millares 38 4" xfId="622" xr:uid="{00000000-0005-0000-0000-0000BC0B0000}"/>
    <cellStyle name="Millares 38 4 2" xfId="1022" xr:uid="{00000000-0005-0000-0000-0000BD0B0000}"/>
    <cellStyle name="Millares 38 4 2 2" xfId="2605" xr:uid="{00000000-0005-0000-0000-0000BE0B0000}"/>
    <cellStyle name="Millares 38 4 2 2 2" xfId="4187" xr:uid="{00000000-0005-0000-0000-0000BF0B0000}"/>
    <cellStyle name="Millares 38 4 2 3" xfId="1814" xr:uid="{00000000-0005-0000-0000-0000C00B0000}"/>
    <cellStyle name="Millares 38 4 2 4" xfId="3396" xr:uid="{00000000-0005-0000-0000-0000C10B0000}"/>
    <cellStyle name="Millares 38 4 3" xfId="2211" xr:uid="{00000000-0005-0000-0000-0000C20B0000}"/>
    <cellStyle name="Millares 38 4 3 2" xfId="3793" xr:uid="{00000000-0005-0000-0000-0000C30B0000}"/>
    <cellStyle name="Millares 38 4 4" xfId="1420" xr:uid="{00000000-0005-0000-0000-0000C40B0000}"/>
    <cellStyle name="Millares 38 4 5" xfId="3002" xr:uid="{00000000-0005-0000-0000-0000C50B0000}"/>
    <cellStyle name="Millares 38 5" xfId="801" xr:uid="{00000000-0005-0000-0000-0000C60B0000}"/>
    <cellStyle name="Millares 38 5 2" xfId="2384" xr:uid="{00000000-0005-0000-0000-0000C70B0000}"/>
    <cellStyle name="Millares 38 5 2 2" xfId="3966" xr:uid="{00000000-0005-0000-0000-0000C80B0000}"/>
    <cellStyle name="Millares 38 5 3" xfId="1593" xr:uid="{00000000-0005-0000-0000-0000C90B0000}"/>
    <cellStyle name="Millares 38 5 4" xfId="3175" xr:uid="{00000000-0005-0000-0000-0000CA0B0000}"/>
    <cellStyle name="Millares 38 6" xfId="1990" xr:uid="{00000000-0005-0000-0000-0000CB0B0000}"/>
    <cellStyle name="Millares 38 6 2" xfId="3572" xr:uid="{00000000-0005-0000-0000-0000CC0B0000}"/>
    <cellStyle name="Millares 38 7" xfId="1199" xr:uid="{00000000-0005-0000-0000-0000CD0B0000}"/>
    <cellStyle name="Millares 38 8" xfId="2781" xr:uid="{00000000-0005-0000-0000-0000CE0B0000}"/>
    <cellStyle name="Millares 39" xfId="437" xr:uid="{00000000-0005-0000-0000-0000CF0B0000}"/>
    <cellStyle name="Millares 39 2" xfId="513" xr:uid="{00000000-0005-0000-0000-0000D00B0000}"/>
    <cellStyle name="Millares 39 2 2" xfId="741" xr:uid="{00000000-0005-0000-0000-0000D10B0000}"/>
    <cellStyle name="Millares 39 2 2 2" xfId="1141" xr:uid="{00000000-0005-0000-0000-0000D20B0000}"/>
    <cellStyle name="Millares 39 2 2 2 2" xfId="2724" xr:uid="{00000000-0005-0000-0000-0000D30B0000}"/>
    <cellStyle name="Millares 39 2 2 2 2 2" xfId="4306" xr:uid="{00000000-0005-0000-0000-0000D40B0000}"/>
    <cellStyle name="Millares 39 2 2 2 3" xfId="1933" xr:uid="{00000000-0005-0000-0000-0000D50B0000}"/>
    <cellStyle name="Millares 39 2 2 2 4" xfId="3515" xr:uid="{00000000-0005-0000-0000-0000D60B0000}"/>
    <cellStyle name="Millares 39 2 2 3" xfId="2330" xr:uid="{00000000-0005-0000-0000-0000D70B0000}"/>
    <cellStyle name="Millares 39 2 2 3 2" xfId="3912" xr:uid="{00000000-0005-0000-0000-0000D80B0000}"/>
    <cellStyle name="Millares 39 2 2 4" xfId="1539" xr:uid="{00000000-0005-0000-0000-0000D90B0000}"/>
    <cellStyle name="Millares 39 2 2 5" xfId="3121" xr:uid="{00000000-0005-0000-0000-0000DA0B0000}"/>
    <cellStyle name="Millares 39 2 3" xfId="920" xr:uid="{00000000-0005-0000-0000-0000DB0B0000}"/>
    <cellStyle name="Millares 39 2 3 2" xfId="2503" xr:uid="{00000000-0005-0000-0000-0000DC0B0000}"/>
    <cellStyle name="Millares 39 2 3 2 2" xfId="4085" xr:uid="{00000000-0005-0000-0000-0000DD0B0000}"/>
    <cellStyle name="Millares 39 2 3 3" xfId="1712" xr:uid="{00000000-0005-0000-0000-0000DE0B0000}"/>
    <cellStyle name="Millares 39 2 3 4" xfId="3294" xr:uid="{00000000-0005-0000-0000-0000DF0B0000}"/>
    <cellStyle name="Millares 39 2 4" xfId="2109" xr:uid="{00000000-0005-0000-0000-0000E00B0000}"/>
    <cellStyle name="Millares 39 2 4 2" xfId="3691" xr:uid="{00000000-0005-0000-0000-0000E10B0000}"/>
    <cellStyle name="Millares 39 2 5" xfId="1318" xr:uid="{00000000-0005-0000-0000-0000E20B0000}"/>
    <cellStyle name="Millares 39 2 6" xfId="2900" xr:uid="{00000000-0005-0000-0000-0000E30B0000}"/>
    <cellStyle name="Millares 39 3" xfId="665" xr:uid="{00000000-0005-0000-0000-0000E40B0000}"/>
    <cellStyle name="Millares 39 3 2" xfId="1065" xr:uid="{00000000-0005-0000-0000-0000E50B0000}"/>
    <cellStyle name="Millares 39 3 2 2" xfId="2648" xr:uid="{00000000-0005-0000-0000-0000E60B0000}"/>
    <cellStyle name="Millares 39 3 2 2 2" xfId="4230" xr:uid="{00000000-0005-0000-0000-0000E70B0000}"/>
    <cellStyle name="Millares 39 3 2 3" xfId="1857" xr:uid="{00000000-0005-0000-0000-0000E80B0000}"/>
    <cellStyle name="Millares 39 3 2 4" xfId="3439" xr:uid="{00000000-0005-0000-0000-0000E90B0000}"/>
    <cellStyle name="Millares 39 3 3" xfId="2254" xr:uid="{00000000-0005-0000-0000-0000EA0B0000}"/>
    <cellStyle name="Millares 39 3 3 2" xfId="3836" xr:uid="{00000000-0005-0000-0000-0000EB0B0000}"/>
    <cellStyle name="Millares 39 3 4" xfId="1463" xr:uid="{00000000-0005-0000-0000-0000EC0B0000}"/>
    <cellStyle name="Millares 39 3 5" xfId="3045" xr:uid="{00000000-0005-0000-0000-0000ED0B0000}"/>
    <cellStyle name="Millares 39 4" xfId="844" xr:uid="{00000000-0005-0000-0000-0000EE0B0000}"/>
    <cellStyle name="Millares 39 4 2" xfId="2427" xr:uid="{00000000-0005-0000-0000-0000EF0B0000}"/>
    <cellStyle name="Millares 39 4 2 2" xfId="4009" xr:uid="{00000000-0005-0000-0000-0000F00B0000}"/>
    <cellStyle name="Millares 39 4 3" xfId="1636" xr:uid="{00000000-0005-0000-0000-0000F10B0000}"/>
    <cellStyle name="Millares 39 4 4" xfId="3218" xr:uid="{00000000-0005-0000-0000-0000F20B0000}"/>
    <cellStyle name="Millares 39 5" xfId="2033" xr:uid="{00000000-0005-0000-0000-0000F30B0000}"/>
    <cellStyle name="Millares 39 5 2" xfId="3615" xr:uid="{00000000-0005-0000-0000-0000F40B0000}"/>
    <cellStyle name="Millares 39 6" xfId="1242" xr:uid="{00000000-0005-0000-0000-0000F50B0000}"/>
    <cellStyle name="Millares 39 7" xfId="2824" xr:uid="{00000000-0005-0000-0000-0000F60B0000}"/>
    <cellStyle name="Millares 4" xfId="5" xr:uid="{00000000-0005-0000-0000-0000F70B0000}"/>
    <cellStyle name="Millares 4 10" xfId="1177" xr:uid="{00000000-0005-0000-0000-0000F80B0000}"/>
    <cellStyle name="Millares 4 11" xfId="2759" xr:uid="{00000000-0005-0000-0000-0000F90B0000}"/>
    <cellStyle name="Millares 4 12" xfId="4626" xr:uid="{51E9F08A-C9B4-42B2-A870-D79A9D37FC62}"/>
    <cellStyle name="Millares 4 12 2" xfId="5002" xr:uid="{5E0862B8-3271-4D71-A508-75219C0B5FE5}"/>
    <cellStyle name="Millares 4 13" xfId="4889" xr:uid="{4D8B2EEA-ABA3-4C25-BD22-6175853FB6CB}"/>
    <cellStyle name="Millares 4 13 2" xfId="5174" xr:uid="{3C4004C1-119C-4781-B223-10769885BF4B}"/>
    <cellStyle name="Millares 4 14" xfId="4389" xr:uid="{031378F8-6A6A-4622-B923-C93842CB5A27}"/>
    <cellStyle name="Millares 4 15" xfId="4904" xr:uid="{DBD7ADC9-7F83-4EF6-BA75-389CB9E9DD9A}"/>
    <cellStyle name="Millares 4 2" xfId="312" xr:uid="{00000000-0005-0000-0000-0000FA0B0000}"/>
    <cellStyle name="Millares 4 2 10" xfId="2772" xr:uid="{00000000-0005-0000-0000-0000FB0B0000}"/>
    <cellStyle name="Millares 4 2 11" xfId="4630" xr:uid="{7C6FE405-80A8-4077-9CF8-CF8A60C8A5E8}"/>
    <cellStyle name="Millares 4 2 11 2" xfId="5006" xr:uid="{403B3001-144D-4C0D-BEAA-5BDFC75B407A}"/>
    <cellStyle name="Millares 4 2 12" xfId="4393" xr:uid="{646EE614-AAF5-4228-B74F-D86864EA6A44}"/>
    <cellStyle name="Millares 4 2 2" xfId="390" xr:uid="{00000000-0005-0000-0000-0000FC0B0000}"/>
    <cellStyle name="Millares 4 2 2 10" xfId="4419" xr:uid="{ED6CC0CB-8064-4CE1-8B93-60035813D076}"/>
    <cellStyle name="Millares 4 2 2 2" xfId="502" xr:uid="{00000000-0005-0000-0000-0000FD0B0000}"/>
    <cellStyle name="Millares 4 2 2 2 2" xfId="730" xr:uid="{00000000-0005-0000-0000-0000FE0B0000}"/>
    <cellStyle name="Millares 4 2 2 2 2 2" xfId="1130" xr:uid="{00000000-0005-0000-0000-0000FF0B0000}"/>
    <cellStyle name="Millares 4 2 2 2 2 2 2" xfId="2713" xr:uid="{00000000-0005-0000-0000-0000000C0000}"/>
    <cellStyle name="Millares 4 2 2 2 2 2 2 2" xfId="4295" xr:uid="{00000000-0005-0000-0000-0000010C0000}"/>
    <cellStyle name="Millares 4 2 2 2 2 2 3" xfId="1922" xr:uid="{00000000-0005-0000-0000-0000020C0000}"/>
    <cellStyle name="Millares 4 2 2 2 2 2 4" xfId="3504" xr:uid="{00000000-0005-0000-0000-0000030C0000}"/>
    <cellStyle name="Millares 4 2 2 2 2 3" xfId="2319" xr:uid="{00000000-0005-0000-0000-0000040C0000}"/>
    <cellStyle name="Millares 4 2 2 2 2 3 2" xfId="3901" xr:uid="{00000000-0005-0000-0000-0000050C0000}"/>
    <cellStyle name="Millares 4 2 2 2 2 4" xfId="1528" xr:uid="{00000000-0005-0000-0000-0000060C0000}"/>
    <cellStyle name="Millares 4 2 2 2 2 5" xfId="3110" xr:uid="{00000000-0005-0000-0000-0000070C0000}"/>
    <cellStyle name="Millares 4 2 2 2 3" xfId="909" xr:uid="{00000000-0005-0000-0000-0000080C0000}"/>
    <cellStyle name="Millares 4 2 2 2 3 2" xfId="2492" xr:uid="{00000000-0005-0000-0000-0000090C0000}"/>
    <cellStyle name="Millares 4 2 2 2 3 2 2" xfId="4074" xr:uid="{00000000-0005-0000-0000-00000A0C0000}"/>
    <cellStyle name="Millares 4 2 2 2 3 3" xfId="1701" xr:uid="{00000000-0005-0000-0000-00000B0C0000}"/>
    <cellStyle name="Millares 4 2 2 2 3 4" xfId="3283" xr:uid="{00000000-0005-0000-0000-00000C0C0000}"/>
    <cellStyle name="Millares 4 2 2 2 4" xfId="2098" xr:uid="{00000000-0005-0000-0000-00000D0C0000}"/>
    <cellStyle name="Millares 4 2 2 2 4 2" xfId="3680" xr:uid="{00000000-0005-0000-0000-00000E0C0000}"/>
    <cellStyle name="Millares 4 2 2 2 5" xfId="1307" xr:uid="{00000000-0005-0000-0000-00000F0C0000}"/>
    <cellStyle name="Millares 4 2 2 2 6" xfId="2889" xr:uid="{00000000-0005-0000-0000-0000100C0000}"/>
    <cellStyle name="Millares 4 2 2 3" xfId="579" xr:uid="{00000000-0005-0000-0000-0000110C0000}"/>
    <cellStyle name="Millares 4 2 2 3 2" xfId="986" xr:uid="{00000000-0005-0000-0000-0000120C0000}"/>
    <cellStyle name="Millares 4 2 2 3 2 2" xfId="2569" xr:uid="{00000000-0005-0000-0000-0000130C0000}"/>
    <cellStyle name="Millares 4 2 2 3 2 2 2" xfId="4151" xr:uid="{00000000-0005-0000-0000-0000140C0000}"/>
    <cellStyle name="Millares 4 2 2 3 2 3" xfId="1778" xr:uid="{00000000-0005-0000-0000-0000150C0000}"/>
    <cellStyle name="Millares 4 2 2 3 2 4" xfId="3360" xr:uid="{00000000-0005-0000-0000-0000160C0000}"/>
    <cellStyle name="Millares 4 2 2 3 3" xfId="2175" xr:uid="{00000000-0005-0000-0000-0000170C0000}"/>
    <cellStyle name="Millares 4 2 2 3 3 2" xfId="3757" xr:uid="{00000000-0005-0000-0000-0000180C0000}"/>
    <cellStyle name="Millares 4 2 2 3 4" xfId="1384" xr:uid="{00000000-0005-0000-0000-0000190C0000}"/>
    <cellStyle name="Millares 4 2 2 3 5" xfId="2966" xr:uid="{00000000-0005-0000-0000-00001A0C0000}"/>
    <cellStyle name="Millares 4 2 2 4" xfId="654" xr:uid="{00000000-0005-0000-0000-00001B0C0000}"/>
    <cellStyle name="Millares 4 2 2 4 2" xfId="1054" xr:uid="{00000000-0005-0000-0000-00001C0C0000}"/>
    <cellStyle name="Millares 4 2 2 4 2 2" xfId="2637" xr:uid="{00000000-0005-0000-0000-00001D0C0000}"/>
    <cellStyle name="Millares 4 2 2 4 2 2 2" xfId="4219" xr:uid="{00000000-0005-0000-0000-00001E0C0000}"/>
    <cellStyle name="Millares 4 2 2 4 2 3" xfId="1846" xr:uid="{00000000-0005-0000-0000-00001F0C0000}"/>
    <cellStyle name="Millares 4 2 2 4 2 4" xfId="3428" xr:uid="{00000000-0005-0000-0000-0000200C0000}"/>
    <cellStyle name="Millares 4 2 2 4 3" xfId="2243" xr:uid="{00000000-0005-0000-0000-0000210C0000}"/>
    <cellStyle name="Millares 4 2 2 4 3 2" xfId="3825" xr:uid="{00000000-0005-0000-0000-0000220C0000}"/>
    <cellStyle name="Millares 4 2 2 4 4" xfId="1452" xr:uid="{00000000-0005-0000-0000-0000230C0000}"/>
    <cellStyle name="Millares 4 2 2 4 5" xfId="3034" xr:uid="{00000000-0005-0000-0000-0000240C0000}"/>
    <cellStyle name="Millares 4 2 2 5" xfId="833" xr:uid="{00000000-0005-0000-0000-0000250C0000}"/>
    <cellStyle name="Millares 4 2 2 5 2" xfId="2416" xr:uid="{00000000-0005-0000-0000-0000260C0000}"/>
    <cellStyle name="Millares 4 2 2 5 2 2" xfId="3998" xr:uid="{00000000-0005-0000-0000-0000270C0000}"/>
    <cellStyle name="Millares 4 2 2 5 3" xfId="1625" xr:uid="{00000000-0005-0000-0000-0000280C0000}"/>
    <cellStyle name="Millares 4 2 2 5 4" xfId="3207" xr:uid="{00000000-0005-0000-0000-0000290C0000}"/>
    <cellStyle name="Millares 4 2 2 6" xfId="2022" xr:uid="{00000000-0005-0000-0000-00002A0C0000}"/>
    <cellStyle name="Millares 4 2 2 6 2" xfId="3604" xr:uid="{00000000-0005-0000-0000-00002B0C0000}"/>
    <cellStyle name="Millares 4 2 2 7" xfId="1231" xr:uid="{00000000-0005-0000-0000-00002C0C0000}"/>
    <cellStyle name="Millares 4 2 2 8" xfId="2813" xr:uid="{00000000-0005-0000-0000-00002D0C0000}"/>
    <cellStyle name="Millares 4 2 2 9" xfId="4651" xr:uid="{69B6AAD4-E182-4F81-B76E-A8D68E14C9C5}"/>
    <cellStyle name="Millares 4 2 2 9 2" xfId="5024" xr:uid="{90C84466-6524-4DB5-846D-9FAF8C44CE34}"/>
    <cellStyle name="Millares 4 2 3" xfId="461" xr:uid="{00000000-0005-0000-0000-00002E0C0000}"/>
    <cellStyle name="Millares 4 2 3 2" xfId="689" xr:uid="{00000000-0005-0000-0000-00002F0C0000}"/>
    <cellStyle name="Millares 4 2 3 2 2" xfId="1089" xr:uid="{00000000-0005-0000-0000-0000300C0000}"/>
    <cellStyle name="Millares 4 2 3 2 2 2" xfId="2672" xr:uid="{00000000-0005-0000-0000-0000310C0000}"/>
    <cellStyle name="Millares 4 2 3 2 2 2 2" xfId="4254" xr:uid="{00000000-0005-0000-0000-0000320C0000}"/>
    <cellStyle name="Millares 4 2 3 2 2 3" xfId="1881" xr:uid="{00000000-0005-0000-0000-0000330C0000}"/>
    <cellStyle name="Millares 4 2 3 2 2 4" xfId="3463" xr:uid="{00000000-0005-0000-0000-0000340C0000}"/>
    <cellStyle name="Millares 4 2 3 2 3" xfId="2278" xr:uid="{00000000-0005-0000-0000-0000350C0000}"/>
    <cellStyle name="Millares 4 2 3 2 3 2" xfId="3860" xr:uid="{00000000-0005-0000-0000-0000360C0000}"/>
    <cellStyle name="Millares 4 2 3 2 4" xfId="1487" xr:uid="{00000000-0005-0000-0000-0000370C0000}"/>
    <cellStyle name="Millares 4 2 3 2 5" xfId="3069" xr:uid="{00000000-0005-0000-0000-0000380C0000}"/>
    <cellStyle name="Millares 4 2 3 3" xfId="868" xr:uid="{00000000-0005-0000-0000-0000390C0000}"/>
    <cellStyle name="Millares 4 2 3 3 2" xfId="2451" xr:uid="{00000000-0005-0000-0000-00003A0C0000}"/>
    <cellStyle name="Millares 4 2 3 3 2 2" xfId="4033" xr:uid="{00000000-0005-0000-0000-00003B0C0000}"/>
    <cellStyle name="Millares 4 2 3 3 3" xfId="1660" xr:uid="{00000000-0005-0000-0000-00003C0C0000}"/>
    <cellStyle name="Millares 4 2 3 3 4" xfId="3242" xr:uid="{00000000-0005-0000-0000-00003D0C0000}"/>
    <cellStyle name="Millares 4 2 3 4" xfId="2057" xr:uid="{00000000-0005-0000-0000-00003E0C0000}"/>
    <cellStyle name="Millares 4 2 3 4 2" xfId="3639" xr:uid="{00000000-0005-0000-0000-00003F0C0000}"/>
    <cellStyle name="Millares 4 2 3 5" xfId="1266" xr:uid="{00000000-0005-0000-0000-0000400C0000}"/>
    <cellStyle name="Millares 4 2 3 6" xfId="2848" xr:uid="{00000000-0005-0000-0000-0000410C0000}"/>
    <cellStyle name="Millares 4 2 4" xfId="538" xr:uid="{00000000-0005-0000-0000-0000420C0000}"/>
    <cellStyle name="Millares 4 2 4 2" xfId="945" xr:uid="{00000000-0005-0000-0000-0000430C0000}"/>
    <cellStyle name="Millares 4 2 4 2 2" xfId="2528" xr:uid="{00000000-0005-0000-0000-0000440C0000}"/>
    <cellStyle name="Millares 4 2 4 2 2 2" xfId="4110" xr:uid="{00000000-0005-0000-0000-0000450C0000}"/>
    <cellStyle name="Millares 4 2 4 2 3" xfId="1737" xr:uid="{00000000-0005-0000-0000-0000460C0000}"/>
    <cellStyle name="Millares 4 2 4 2 4" xfId="3319" xr:uid="{00000000-0005-0000-0000-0000470C0000}"/>
    <cellStyle name="Millares 4 2 4 3" xfId="2134" xr:uid="{00000000-0005-0000-0000-0000480C0000}"/>
    <cellStyle name="Millares 4 2 4 3 2" xfId="3716" xr:uid="{00000000-0005-0000-0000-0000490C0000}"/>
    <cellStyle name="Millares 4 2 4 4" xfId="1343" xr:uid="{00000000-0005-0000-0000-00004A0C0000}"/>
    <cellStyle name="Millares 4 2 4 5" xfId="2925" xr:uid="{00000000-0005-0000-0000-00004B0C0000}"/>
    <cellStyle name="Millares 4 2 5" xfId="613" xr:uid="{00000000-0005-0000-0000-00004C0C0000}"/>
    <cellStyle name="Millares 4 2 5 2" xfId="1013" xr:uid="{00000000-0005-0000-0000-00004D0C0000}"/>
    <cellStyle name="Millares 4 2 5 2 2" xfId="2596" xr:uid="{00000000-0005-0000-0000-00004E0C0000}"/>
    <cellStyle name="Millares 4 2 5 2 2 2" xfId="4178" xr:uid="{00000000-0005-0000-0000-00004F0C0000}"/>
    <cellStyle name="Millares 4 2 5 2 3" xfId="1805" xr:uid="{00000000-0005-0000-0000-0000500C0000}"/>
    <cellStyle name="Millares 4 2 5 2 4" xfId="3387" xr:uid="{00000000-0005-0000-0000-0000510C0000}"/>
    <cellStyle name="Millares 4 2 5 3" xfId="2202" xr:uid="{00000000-0005-0000-0000-0000520C0000}"/>
    <cellStyle name="Millares 4 2 5 3 2" xfId="3784" xr:uid="{00000000-0005-0000-0000-0000530C0000}"/>
    <cellStyle name="Millares 4 2 5 4" xfId="1411" xr:uid="{00000000-0005-0000-0000-0000540C0000}"/>
    <cellStyle name="Millares 4 2 5 5" xfId="2993" xr:uid="{00000000-0005-0000-0000-0000550C0000}"/>
    <cellStyle name="Millares 4 2 6" xfId="765" xr:uid="{00000000-0005-0000-0000-0000560C0000}"/>
    <cellStyle name="Millares 4 2 6 2" xfId="1165" xr:uid="{00000000-0005-0000-0000-0000570C0000}"/>
    <cellStyle name="Millares 4 2 6 2 2" xfId="2748" xr:uid="{00000000-0005-0000-0000-0000580C0000}"/>
    <cellStyle name="Millares 4 2 6 2 2 2" xfId="4330" xr:uid="{00000000-0005-0000-0000-0000590C0000}"/>
    <cellStyle name="Millares 4 2 6 2 3" xfId="1957" xr:uid="{00000000-0005-0000-0000-00005A0C0000}"/>
    <cellStyle name="Millares 4 2 6 2 4" xfId="3539" xr:uid="{00000000-0005-0000-0000-00005B0C0000}"/>
    <cellStyle name="Millares 4 2 6 3" xfId="2354" xr:uid="{00000000-0005-0000-0000-00005C0C0000}"/>
    <cellStyle name="Millares 4 2 6 3 2" xfId="3936" xr:uid="{00000000-0005-0000-0000-00005D0C0000}"/>
    <cellStyle name="Millares 4 2 6 4" xfId="1563" xr:uid="{00000000-0005-0000-0000-00005E0C0000}"/>
    <cellStyle name="Millares 4 2 6 5" xfId="3145" xr:uid="{00000000-0005-0000-0000-00005F0C0000}"/>
    <cellStyle name="Millares 4 2 7" xfId="792" xr:uid="{00000000-0005-0000-0000-0000600C0000}"/>
    <cellStyle name="Millares 4 2 7 2" xfId="2375" xr:uid="{00000000-0005-0000-0000-0000610C0000}"/>
    <cellStyle name="Millares 4 2 7 2 2" xfId="3957" xr:uid="{00000000-0005-0000-0000-0000620C0000}"/>
    <cellStyle name="Millares 4 2 7 3" xfId="1584" xr:uid="{00000000-0005-0000-0000-0000630C0000}"/>
    <cellStyle name="Millares 4 2 7 4" xfId="3166" xr:uid="{00000000-0005-0000-0000-0000640C0000}"/>
    <cellStyle name="Millares 4 2 8" xfId="1981" xr:uid="{00000000-0005-0000-0000-0000650C0000}"/>
    <cellStyle name="Millares 4 2 8 2" xfId="3563" xr:uid="{00000000-0005-0000-0000-0000660C0000}"/>
    <cellStyle name="Millares 4 2 9" xfId="1190" xr:uid="{00000000-0005-0000-0000-0000670C0000}"/>
    <cellStyle name="Millares 4 3" xfId="371" xr:uid="{00000000-0005-0000-0000-0000680C0000}"/>
    <cellStyle name="Millares 4 3 2" xfId="489" xr:uid="{00000000-0005-0000-0000-0000690C0000}"/>
    <cellStyle name="Millares 4 3 2 2" xfId="717" xr:uid="{00000000-0005-0000-0000-00006A0C0000}"/>
    <cellStyle name="Millares 4 3 2 2 2" xfId="1117" xr:uid="{00000000-0005-0000-0000-00006B0C0000}"/>
    <cellStyle name="Millares 4 3 2 2 2 2" xfId="2700" xr:uid="{00000000-0005-0000-0000-00006C0C0000}"/>
    <cellStyle name="Millares 4 3 2 2 2 2 2" xfId="4282" xr:uid="{00000000-0005-0000-0000-00006D0C0000}"/>
    <cellStyle name="Millares 4 3 2 2 2 3" xfId="1909" xr:uid="{00000000-0005-0000-0000-00006E0C0000}"/>
    <cellStyle name="Millares 4 3 2 2 2 4" xfId="3491" xr:uid="{00000000-0005-0000-0000-00006F0C0000}"/>
    <cellStyle name="Millares 4 3 2 2 3" xfId="2306" xr:uid="{00000000-0005-0000-0000-0000700C0000}"/>
    <cellStyle name="Millares 4 3 2 2 3 2" xfId="3888" xr:uid="{00000000-0005-0000-0000-0000710C0000}"/>
    <cellStyle name="Millares 4 3 2 2 4" xfId="1515" xr:uid="{00000000-0005-0000-0000-0000720C0000}"/>
    <cellStyle name="Millares 4 3 2 2 5" xfId="3097" xr:uid="{00000000-0005-0000-0000-0000730C0000}"/>
    <cellStyle name="Millares 4 3 2 3" xfId="896" xr:uid="{00000000-0005-0000-0000-0000740C0000}"/>
    <cellStyle name="Millares 4 3 2 3 2" xfId="2479" xr:uid="{00000000-0005-0000-0000-0000750C0000}"/>
    <cellStyle name="Millares 4 3 2 3 2 2" xfId="4061" xr:uid="{00000000-0005-0000-0000-0000760C0000}"/>
    <cellStyle name="Millares 4 3 2 3 3" xfId="1688" xr:uid="{00000000-0005-0000-0000-0000770C0000}"/>
    <cellStyle name="Millares 4 3 2 3 4" xfId="3270" xr:uid="{00000000-0005-0000-0000-0000780C0000}"/>
    <cellStyle name="Millares 4 3 2 4" xfId="2085" xr:uid="{00000000-0005-0000-0000-0000790C0000}"/>
    <cellStyle name="Millares 4 3 2 4 2" xfId="3667" xr:uid="{00000000-0005-0000-0000-00007A0C0000}"/>
    <cellStyle name="Millares 4 3 2 5" xfId="1294" xr:uid="{00000000-0005-0000-0000-00007B0C0000}"/>
    <cellStyle name="Millares 4 3 2 6" xfId="2876" xr:uid="{00000000-0005-0000-0000-00007C0C0000}"/>
    <cellStyle name="Millares 4 3 3" xfId="566" xr:uid="{00000000-0005-0000-0000-00007D0C0000}"/>
    <cellStyle name="Millares 4 3 3 2" xfId="973" xr:uid="{00000000-0005-0000-0000-00007E0C0000}"/>
    <cellStyle name="Millares 4 3 3 2 2" xfId="2556" xr:uid="{00000000-0005-0000-0000-00007F0C0000}"/>
    <cellStyle name="Millares 4 3 3 2 2 2" xfId="4138" xr:uid="{00000000-0005-0000-0000-0000800C0000}"/>
    <cellStyle name="Millares 4 3 3 2 3" xfId="1765" xr:uid="{00000000-0005-0000-0000-0000810C0000}"/>
    <cellStyle name="Millares 4 3 3 2 4" xfId="3347" xr:uid="{00000000-0005-0000-0000-0000820C0000}"/>
    <cellStyle name="Millares 4 3 3 3" xfId="2162" xr:uid="{00000000-0005-0000-0000-0000830C0000}"/>
    <cellStyle name="Millares 4 3 3 3 2" xfId="3744" xr:uid="{00000000-0005-0000-0000-0000840C0000}"/>
    <cellStyle name="Millares 4 3 3 4" xfId="1371" xr:uid="{00000000-0005-0000-0000-0000850C0000}"/>
    <cellStyle name="Millares 4 3 3 5" xfId="2953" xr:uid="{00000000-0005-0000-0000-0000860C0000}"/>
    <cellStyle name="Millares 4 3 4" xfId="641" xr:uid="{00000000-0005-0000-0000-0000870C0000}"/>
    <cellStyle name="Millares 4 3 4 2" xfId="1041" xr:uid="{00000000-0005-0000-0000-0000880C0000}"/>
    <cellStyle name="Millares 4 3 4 2 2" xfId="2624" xr:uid="{00000000-0005-0000-0000-0000890C0000}"/>
    <cellStyle name="Millares 4 3 4 2 2 2" xfId="4206" xr:uid="{00000000-0005-0000-0000-00008A0C0000}"/>
    <cellStyle name="Millares 4 3 4 2 3" xfId="1833" xr:uid="{00000000-0005-0000-0000-00008B0C0000}"/>
    <cellStyle name="Millares 4 3 4 2 4" xfId="3415" xr:uid="{00000000-0005-0000-0000-00008C0C0000}"/>
    <cellStyle name="Millares 4 3 4 3" xfId="2230" xr:uid="{00000000-0005-0000-0000-00008D0C0000}"/>
    <cellStyle name="Millares 4 3 4 3 2" xfId="3812" xr:uid="{00000000-0005-0000-0000-00008E0C0000}"/>
    <cellStyle name="Millares 4 3 4 4" xfId="1439" xr:uid="{00000000-0005-0000-0000-00008F0C0000}"/>
    <cellStyle name="Millares 4 3 4 5" xfId="3021" xr:uid="{00000000-0005-0000-0000-0000900C0000}"/>
    <cellStyle name="Millares 4 3 5" xfId="820" xr:uid="{00000000-0005-0000-0000-0000910C0000}"/>
    <cellStyle name="Millares 4 3 5 2" xfId="2403" xr:uid="{00000000-0005-0000-0000-0000920C0000}"/>
    <cellStyle name="Millares 4 3 5 2 2" xfId="3985" xr:uid="{00000000-0005-0000-0000-0000930C0000}"/>
    <cellStyle name="Millares 4 3 5 3" xfId="1612" xr:uid="{00000000-0005-0000-0000-0000940C0000}"/>
    <cellStyle name="Millares 4 3 5 4" xfId="3194" xr:uid="{00000000-0005-0000-0000-0000950C0000}"/>
    <cellStyle name="Millares 4 3 6" xfId="2009" xr:uid="{00000000-0005-0000-0000-0000960C0000}"/>
    <cellStyle name="Millares 4 3 6 2" xfId="3591" xr:uid="{00000000-0005-0000-0000-0000970C0000}"/>
    <cellStyle name="Millares 4 3 7" xfId="1218" xr:uid="{00000000-0005-0000-0000-0000980C0000}"/>
    <cellStyle name="Millares 4 3 8" xfId="2800" xr:uid="{00000000-0005-0000-0000-0000990C0000}"/>
    <cellStyle name="Millares 4 4" xfId="448" xr:uid="{00000000-0005-0000-0000-00009A0C0000}"/>
    <cellStyle name="Millares 4 4 2" xfId="676" xr:uid="{00000000-0005-0000-0000-00009B0C0000}"/>
    <cellStyle name="Millares 4 4 2 2" xfId="1076" xr:uid="{00000000-0005-0000-0000-00009C0C0000}"/>
    <cellStyle name="Millares 4 4 2 2 2" xfId="2659" xr:uid="{00000000-0005-0000-0000-00009D0C0000}"/>
    <cellStyle name="Millares 4 4 2 2 2 2" xfId="4241" xr:uid="{00000000-0005-0000-0000-00009E0C0000}"/>
    <cellStyle name="Millares 4 4 2 2 3" xfId="1868" xr:uid="{00000000-0005-0000-0000-00009F0C0000}"/>
    <cellStyle name="Millares 4 4 2 2 4" xfId="3450" xr:uid="{00000000-0005-0000-0000-0000A00C0000}"/>
    <cellStyle name="Millares 4 4 2 3" xfId="2265" xr:uid="{00000000-0005-0000-0000-0000A10C0000}"/>
    <cellStyle name="Millares 4 4 2 3 2" xfId="3847" xr:uid="{00000000-0005-0000-0000-0000A20C0000}"/>
    <cellStyle name="Millares 4 4 2 4" xfId="1474" xr:uid="{00000000-0005-0000-0000-0000A30C0000}"/>
    <cellStyle name="Millares 4 4 2 5" xfId="3056" xr:uid="{00000000-0005-0000-0000-0000A40C0000}"/>
    <cellStyle name="Millares 4 4 3" xfId="855" xr:uid="{00000000-0005-0000-0000-0000A50C0000}"/>
    <cellStyle name="Millares 4 4 3 2" xfId="2438" xr:uid="{00000000-0005-0000-0000-0000A60C0000}"/>
    <cellStyle name="Millares 4 4 3 2 2" xfId="4020" xr:uid="{00000000-0005-0000-0000-0000A70C0000}"/>
    <cellStyle name="Millares 4 4 3 3" xfId="1647" xr:uid="{00000000-0005-0000-0000-0000A80C0000}"/>
    <cellStyle name="Millares 4 4 3 4" xfId="3229" xr:uid="{00000000-0005-0000-0000-0000A90C0000}"/>
    <cellStyle name="Millares 4 4 4" xfId="2044" xr:uid="{00000000-0005-0000-0000-0000AA0C0000}"/>
    <cellStyle name="Millares 4 4 4 2" xfId="3626" xr:uid="{00000000-0005-0000-0000-0000AB0C0000}"/>
    <cellStyle name="Millares 4 4 5" xfId="1253" xr:uid="{00000000-0005-0000-0000-0000AC0C0000}"/>
    <cellStyle name="Millares 4 4 6" xfId="2835" xr:uid="{00000000-0005-0000-0000-0000AD0C0000}"/>
    <cellStyle name="Millares 4 5" xfId="525" xr:uid="{00000000-0005-0000-0000-0000AE0C0000}"/>
    <cellStyle name="Millares 4 5 2" xfId="932" xr:uid="{00000000-0005-0000-0000-0000AF0C0000}"/>
    <cellStyle name="Millares 4 5 2 2" xfId="2515" xr:uid="{00000000-0005-0000-0000-0000B00C0000}"/>
    <cellStyle name="Millares 4 5 2 2 2" xfId="4097" xr:uid="{00000000-0005-0000-0000-0000B10C0000}"/>
    <cellStyle name="Millares 4 5 2 3" xfId="1724" xr:uid="{00000000-0005-0000-0000-0000B20C0000}"/>
    <cellStyle name="Millares 4 5 2 4" xfId="3306" xr:uid="{00000000-0005-0000-0000-0000B30C0000}"/>
    <cellStyle name="Millares 4 5 3" xfId="2121" xr:uid="{00000000-0005-0000-0000-0000B40C0000}"/>
    <cellStyle name="Millares 4 5 3 2" xfId="3703" xr:uid="{00000000-0005-0000-0000-0000B50C0000}"/>
    <cellStyle name="Millares 4 5 4" xfId="1330" xr:uid="{00000000-0005-0000-0000-0000B60C0000}"/>
    <cellStyle name="Millares 4 5 5" xfId="2912" xr:uid="{00000000-0005-0000-0000-0000B70C0000}"/>
    <cellStyle name="Millares 4 6" xfId="600" xr:uid="{00000000-0005-0000-0000-0000B80C0000}"/>
    <cellStyle name="Millares 4 6 2" xfId="1000" xr:uid="{00000000-0005-0000-0000-0000B90C0000}"/>
    <cellStyle name="Millares 4 6 2 2" xfId="2583" xr:uid="{00000000-0005-0000-0000-0000BA0C0000}"/>
    <cellStyle name="Millares 4 6 2 2 2" xfId="4165" xr:uid="{00000000-0005-0000-0000-0000BB0C0000}"/>
    <cellStyle name="Millares 4 6 2 3" xfId="1792" xr:uid="{00000000-0005-0000-0000-0000BC0C0000}"/>
    <cellStyle name="Millares 4 6 2 4" xfId="3374" xr:uid="{00000000-0005-0000-0000-0000BD0C0000}"/>
    <cellStyle name="Millares 4 6 3" xfId="2189" xr:uid="{00000000-0005-0000-0000-0000BE0C0000}"/>
    <cellStyle name="Millares 4 6 3 2" xfId="3771" xr:uid="{00000000-0005-0000-0000-0000BF0C0000}"/>
    <cellStyle name="Millares 4 6 4" xfId="1398" xr:uid="{00000000-0005-0000-0000-0000C00C0000}"/>
    <cellStyle name="Millares 4 6 5" xfId="2980" xr:uid="{00000000-0005-0000-0000-0000C10C0000}"/>
    <cellStyle name="Millares 4 7" xfId="752" xr:uid="{00000000-0005-0000-0000-0000C20C0000}"/>
    <cellStyle name="Millares 4 7 2" xfId="1152" xr:uid="{00000000-0005-0000-0000-0000C30C0000}"/>
    <cellStyle name="Millares 4 7 2 2" xfId="2735" xr:uid="{00000000-0005-0000-0000-0000C40C0000}"/>
    <cellStyle name="Millares 4 7 2 2 2" xfId="4317" xr:uid="{00000000-0005-0000-0000-0000C50C0000}"/>
    <cellStyle name="Millares 4 7 2 3" xfId="1944" xr:uid="{00000000-0005-0000-0000-0000C60C0000}"/>
    <cellStyle name="Millares 4 7 2 4" xfId="3526" xr:uid="{00000000-0005-0000-0000-0000C70C0000}"/>
    <cellStyle name="Millares 4 7 3" xfId="2341" xr:uid="{00000000-0005-0000-0000-0000C80C0000}"/>
    <cellStyle name="Millares 4 7 3 2" xfId="3923" xr:uid="{00000000-0005-0000-0000-0000C90C0000}"/>
    <cellStyle name="Millares 4 7 4" xfId="1550" xr:uid="{00000000-0005-0000-0000-0000CA0C0000}"/>
    <cellStyle name="Millares 4 7 5" xfId="3132" xr:uid="{00000000-0005-0000-0000-0000CB0C0000}"/>
    <cellStyle name="Millares 4 8" xfId="779" xr:uid="{00000000-0005-0000-0000-0000CC0C0000}"/>
    <cellStyle name="Millares 4 8 2" xfId="2362" xr:uid="{00000000-0005-0000-0000-0000CD0C0000}"/>
    <cellStyle name="Millares 4 8 2 2" xfId="3944" xr:uid="{00000000-0005-0000-0000-0000CE0C0000}"/>
    <cellStyle name="Millares 4 8 3" xfId="1571" xr:uid="{00000000-0005-0000-0000-0000CF0C0000}"/>
    <cellStyle name="Millares 4 8 4" xfId="3153" xr:uid="{00000000-0005-0000-0000-0000D00C0000}"/>
    <cellStyle name="Millares 4 9" xfId="1968" xr:uid="{00000000-0005-0000-0000-0000D10C0000}"/>
    <cellStyle name="Millares 4 9 2" xfId="3550" xr:uid="{00000000-0005-0000-0000-0000D20C0000}"/>
    <cellStyle name="Millares 40" xfId="444" xr:uid="{00000000-0005-0000-0000-0000D30C0000}"/>
    <cellStyle name="Millares 40 2" xfId="520" xr:uid="{00000000-0005-0000-0000-0000D40C0000}"/>
    <cellStyle name="Millares 40 2 2" xfId="748" xr:uid="{00000000-0005-0000-0000-0000D50C0000}"/>
    <cellStyle name="Millares 40 2 2 2" xfId="1148" xr:uid="{00000000-0005-0000-0000-0000D60C0000}"/>
    <cellStyle name="Millares 40 2 2 2 2" xfId="2731" xr:uid="{00000000-0005-0000-0000-0000D70C0000}"/>
    <cellStyle name="Millares 40 2 2 2 2 2" xfId="4313" xr:uid="{00000000-0005-0000-0000-0000D80C0000}"/>
    <cellStyle name="Millares 40 2 2 2 3" xfId="1940" xr:uid="{00000000-0005-0000-0000-0000D90C0000}"/>
    <cellStyle name="Millares 40 2 2 2 4" xfId="3522" xr:uid="{00000000-0005-0000-0000-0000DA0C0000}"/>
    <cellStyle name="Millares 40 2 2 3" xfId="2337" xr:uid="{00000000-0005-0000-0000-0000DB0C0000}"/>
    <cellStyle name="Millares 40 2 2 3 2" xfId="3919" xr:uid="{00000000-0005-0000-0000-0000DC0C0000}"/>
    <cellStyle name="Millares 40 2 2 4" xfId="1546" xr:uid="{00000000-0005-0000-0000-0000DD0C0000}"/>
    <cellStyle name="Millares 40 2 2 5" xfId="3128" xr:uid="{00000000-0005-0000-0000-0000DE0C0000}"/>
    <cellStyle name="Millares 40 2 3" xfId="927" xr:uid="{00000000-0005-0000-0000-0000DF0C0000}"/>
    <cellStyle name="Millares 40 2 3 2" xfId="2510" xr:uid="{00000000-0005-0000-0000-0000E00C0000}"/>
    <cellStyle name="Millares 40 2 3 2 2" xfId="4092" xr:uid="{00000000-0005-0000-0000-0000E10C0000}"/>
    <cellStyle name="Millares 40 2 3 3" xfId="1719" xr:uid="{00000000-0005-0000-0000-0000E20C0000}"/>
    <cellStyle name="Millares 40 2 3 4" xfId="3301" xr:uid="{00000000-0005-0000-0000-0000E30C0000}"/>
    <cellStyle name="Millares 40 2 4" xfId="2116" xr:uid="{00000000-0005-0000-0000-0000E40C0000}"/>
    <cellStyle name="Millares 40 2 4 2" xfId="3698" xr:uid="{00000000-0005-0000-0000-0000E50C0000}"/>
    <cellStyle name="Millares 40 2 5" xfId="1325" xr:uid="{00000000-0005-0000-0000-0000E60C0000}"/>
    <cellStyle name="Millares 40 2 6" xfId="2907" xr:uid="{00000000-0005-0000-0000-0000E70C0000}"/>
    <cellStyle name="Millares 40 3" xfId="672" xr:uid="{00000000-0005-0000-0000-0000E80C0000}"/>
    <cellStyle name="Millares 40 3 2" xfId="1072" xr:uid="{00000000-0005-0000-0000-0000E90C0000}"/>
    <cellStyle name="Millares 40 3 2 2" xfId="2655" xr:uid="{00000000-0005-0000-0000-0000EA0C0000}"/>
    <cellStyle name="Millares 40 3 2 2 2" xfId="4237" xr:uid="{00000000-0005-0000-0000-0000EB0C0000}"/>
    <cellStyle name="Millares 40 3 2 3" xfId="1864" xr:uid="{00000000-0005-0000-0000-0000EC0C0000}"/>
    <cellStyle name="Millares 40 3 2 4" xfId="3446" xr:uid="{00000000-0005-0000-0000-0000ED0C0000}"/>
    <cellStyle name="Millares 40 3 3" xfId="2261" xr:uid="{00000000-0005-0000-0000-0000EE0C0000}"/>
    <cellStyle name="Millares 40 3 3 2" xfId="3843" xr:uid="{00000000-0005-0000-0000-0000EF0C0000}"/>
    <cellStyle name="Millares 40 3 4" xfId="1470" xr:uid="{00000000-0005-0000-0000-0000F00C0000}"/>
    <cellStyle name="Millares 40 3 5" xfId="3052" xr:uid="{00000000-0005-0000-0000-0000F10C0000}"/>
    <cellStyle name="Millares 40 4" xfId="851" xr:uid="{00000000-0005-0000-0000-0000F20C0000}"/>
    <cellStyle name="Millares 40 4 2" xfId="2434" xr:uid="{00000000-0005-0000-0000-0000F30C0000}"/>
    <cellStyle name="Millares 40 4 2 2" xfId="4016" xr:uid="{00000000-0005-0000-0000-0000F40C0000}"/>
    <cellStyle name="Millares 40 4 3" xfId="1643" xr:uid="{00000000-0005-0000-0000-0000F50C0000}"/>
    <cellStyle name="Millares 40 4 4" xfId="3225" xr:uid="{00000000-0005-0000-0000-0000F60C0000}"/>
    <cellStyle name="Millares 40 5" xfId="2040" xr:uid="{00000000-0005-0000-0000-0000F70C0000}"/>
    <cellStyle name="Millares 40 5 2" xfId="3622" xr:uid="{00000000-0005-0000-0000-0000F80C0000}"/>
    <cellStyle name="Millares 40 6" xfId="1249" xr:uid="{00000000-0005-0000-0000-0000F90C0000}"/>
    <cellStyle name="Millares 40 7" xfId="2831" xr:uid="{00000000-0005-0000-0000-0000FA0C0000}"/>
    <cellStyle name="Millares 41" xfId="438" xr:uid="{00000000-0005-0000-0000-0000FB0C0000}"/>
    <cellStyle name="Millares 41 2" xfId="514" xr:uid="{00000000-0005-0000-0000-0000FC0C0000}"/>
    <cellStyle name="Millares 41 2 2" xfId="742" xr:uid="{00000000-0005-0000-0000-0000FD0C0000}"/>
    <cellStyle name="Millares 41 2 2 2" xfId="1142" xr:uid="{00000000-0005-0000-0000-0000FE0C0000}"/>
    <cellStyle name="Millares 41 2 2 2 2" xfId="2725" xr:uid="{00000000-0005-0000-0000-0000FF0C0000}"/>
    <cellStyle name="Millares 41 2 2 2 2 2" xfId="4307" xr:uid="{00000000-0005-0000-0000-0000000D0000}"/>
    <cellStyle name="Millares 41 2 2 2 3" xfId="1934" xr:uid="{00000000-0005-0000-0000-0000010D0000}"/>
    <cellStyle name="Millares 41 2 2 2 4" xfId="3516" xr:uid="{00000000-0005-0000-0000-0000020D0000}"/>
    <cellStyle name="Millares 41 2 2 3" xfId="2331" xr:uid="{00000000-0005-0000-0000-0000030D0000}"/>
    <cellStyle name="Millares 41 2 2 3 2" xfId="3913" xr:uid="{00000000-0005-0000-0000-0000040D0000}"/>
    <cellStyle name="Millares 41 2 2 4" xfId="1540" xr:uid="{00000000-0005-0000-0000-0000050D0000}"/>
    <cellStyle name="Millares 41 2 2 5" xfId="3122" xr:uid="{00000000-0005-0000-0000-0000060D0000}"/>
    <cellStyle name="Millares 41 2 3" xfId="921" xr:uid="{00000000-0005-0000-0000-0000070D0000}"/>
    <cellStyle name="Millares 41 2 3 2" xfId="2504" xr:uid="{00000000-0005-0000-0000-0000080D0000}"/>
    <cellStyle name="Millares 41 2 3 2 2" xfId="4086" xr:uid="{00000000-0005-0000-0000-0000090D0000}"/>
    <cellStyle name="Millares 41 2 3 3" xfId="1713" xr:uid="{00000000-0005-0000-0000-00000A0D0000}"/>
    <cellStyle name="Millares 41 2 3 4" xfId="3295" xr:uid="{00000000-0005-0000-0000-00000B0D0000}"/>
    <cellStyle name="Millares 41 2 4" xfId="2110" xr:uid="{00000000-0005-0000-0000-00000C0D0000}"/>
    <cellStyle name="Millares 41 2 4 2" xfId="3692" xr:uid="{00000000-0005-0000-0000-00000D0D0000}"/>
    <cellStyle name="Millares 41 2 5" xfId="1319" xr:uid="{00000000-0005-0000-0000-00000E0D0000}"/>
    <cellStyle name="Millares 41 2 6" xfId="2901" xr:uid="{00000000-0005-0000-0000-00000F0D0000}"/>
    <cellStyle name="Millares 41 3" xfId="666" xr:uid="{00000000-0005-0000-0000-0000100D0000}"/>
    <cellStyle name="Millares 41 3 2" xfId="1066" xr:uid="{00000000-0005-0000-0000-0000110D0000}"/>
    <cellStyle name="Millares 41 3 2 2" xfId="2649" xr:uid="{00000000-0005-0000-0000-0000120D0000}"/>
    <cellStyle name="Millares 41 3 2 2 2" xfId="4231" xr:uid="{00000000-0005-0000-0000-0000130D0000}"/>
    <cellStyle name="Millares 41 3 2 3" xfId="1858" xr:uid="{00000000-0005-0000-0000-0000140D0000}"/>
    <cellStyle name="Millares 41 3 2 4" xfId="3440" xr:uid="{00000000-0005-0000-0000-0000150D0000}"/>
    <cellStyle name="Millares 41 3 3" xfId="2255" xr:uid="{00000000-0005-0000-0000-0000160D0000}"/>
    <cellStyle name="Millares 41 3 3 2" xfId="3837" xr:uid="{00000000-0005-0000-0000-0000170D0000}"/>
    <cellStyle name="Millares 41 3 4" xfId="1464" xr:uid="{00000000-0005-0000-0000-0000180D0000}"/>
    <cellStyle name="Millares 41 3 5" xfId="3046" xr:uid="{00000000-0005-0000-0000-0000190D0000}"/>
    <cellStyle name="Millares 41 4" xfId="845" xr:uid="{00000000-0005-0000-0000-00001A0D0000}"/>
    <cellStyle name="Millares 41 4 2" xfId="2428" xr:uid="{00000000-0005-0000-0000-00001B0D0000}"/>
    <cellStyle name="Millares 41 4 2 2" xfId="4010" xr:uid="{00000000-0005-0000-0000-00001C0D0000}"/>
    <cellStyle name="Millares 41 4 3" xfId="1637" xr:uid="{00000000-0005-0000-0000-00001D0D0000}"/>
    <cellStyle name="Millares 41 4 4" xfId="3219" xr:uid="{00000000-0005-0000-0000-00001E0D0000}"/>
    <cellStyle name="Millares 41 5" xfId="2034" xr:uid="{00000000-0005-0000-0000-00001F0D0000}"/>
    <cellStyle name="Millares 41 5 2" xfId="3616" xr:uid="{00000000-0005-0000-0000-0000200D0000}"/>
    <cellStyle name="Millares 41 6" xfId="1243" xr:uid="{00000000-0005-0000-0000-0000210D0000}"/>
    <cellStyle name="Millares 41 7" xfId="2825" xr:uid="{00000000-0005-0000-0000-0000220D0000}"/>
    <cellStyle name="Millares 42" xfId="443" xr:uid="{00000000-0005-0000-0000-0000230D0000}"/>
    <cellStyle name="Millares 42 2" xfId="519" xr:uid="{00000000-0005-0000-0000-0000240D0000}"/>
    <cellStyle name="Millares 42 2 2" xfId="747" xr:uid="{00000000-0005-0000-0000-0000250D0000}"/>
    <cellStyle name="Millares 42 2 2 2" xfId="1147" xr:uid="{00000000-0005-0000-0000-0000260D0000}"/>
    <cellStyle name="Millares 42 2 2 2 2" xfId="2730" xr:uid="{00000000-0005-0000-0000-0000270D0000}"/>
    <cellStyle name="Millares 42 2 2 2 2 2" xfId="4312" xr:uid="{00000000-0005-0000-0000-0000280D0000}"/>
    <cellStyle name="Millares 42 2 2 2 3" xfId="1939" xr:uid="{00000000-0005-0000-0000-0000290D0000}"/>
    <cellStyle name="Millares 42 2 2 2 4" xfId="3521" xr:uid="{00000000-0005-0000-0000-00002A0D0000}"/>
    <cellStyle name="Millares 42 2 2 3" xfId="2336" xr:uid="{00000000-0005-0000-0000-00002B0D0000}"/>
    <cellStyle name="Millares 42 2 2 3 2" xfId="3918" xr:uid="{00000000-0005-0000-0000-00002C0D0000}"/>
    <cellStyle name="Millares 42 2 2 4" xfId="1545" xr:uid="{00000000-0005-0000-0000-00002D0D0000}"/>
    <cellStyle name="Millares 42 2 2 5" xfId="3127" xr:uid="{00000000-0005-0000-0000-00002E0D0000}"/>
    <cellStyle name="Millares 42 2 3" xfId="926" xr:uid="{00000000-0005-0000-0000-00002F0D0000}"/>
    <cellStyle name="Millares 42 2 3 2" xfId="2509" xr:uid="{00000000-0005-0000-0000-0000300D0000}"/>
    <cellStyle name="Millares 42 2 3 2 2" xfId="4091" xr:uid="{00000000-0005-0000-0000-0000310D0000}"/>
    <cellStyle name="Millares 42 2 3 3" xfId="1718" xr:uid="{00000000-0005-0000-0000-0000320D0000}"/>
    <cellStyle name="Millares 42 2 3 4" xfId="3300" xr:uid="{00000000-0005-0000-0000-0000330D0000}"/>
    <cellStyle name="Millares 42 2 4" xfId="2115" xr:uid="{00000000-0005-0000-0000-0000340D0000}"/>
    <cellStyle name="Millares 42 2 4 2" xfId="3697" xr:uid="{00000000-0005-0000-0000-0000350D0000}"/>
    <cellStyle name="Millares 42 2 5" xfId="1324" xr:uid="{00000000-0005-0000-0000-0000360D0000}"/>
    <cellStyle name="Millares 42 2 6" xfId="2906" xr:uid="{00000000-0005-0000-0000-0000370D0000}"/>
    <cellStyle name="Millares 42 3" xfId="671" xr:uid="{00000000-0005-0000-0000-0000380D0000}"/>
    <cellStyle name="Millares 42 3 2" xfId="1071" xr:uid="{00000000-0005-0000-0000-0000390D0000}"/>
    <cellStyle name="Millares 42 3 2 2" xfId="2654" xr:uid="{00000000-0005-0000-0000-00003A0D0000}"/>
    <cellStyle name="Millares 42 3 2 2 2" xfId="4236" xr:uid="{00000000-0005-0000-0000-00003B0D0000}"/>
    <cellStyle name="Millares 42 3 2 3" xfId="1863" xr:uid="{00000000-0005-0000-0000-00003C0D0000}"/>
    <cellStyle name="Millares 42 3 2 4" xfId="3445" xr:uid="{00000000-0005-0000-0000-00003D0D0000}"/>
    <cellStyle name="Millares 42 3 3" xfId="2260" xr:uid="{00000000-0005-0000-0000-00003E0D0000}"/>
    <cellStyle name="Millares 42 3 3 2" xfId="3842" xr:uid="{00000000-0005-0000-0000-00003F0D0000}"/>
    <cellStyle name="Millares 42 3 4" xfId="1469" xr:uid="{00000000-0005-0000-0000-0000400D0000}"/>
    <cellStyle name="Millares 42 3 5" xfId="3051" xr:uid="{00000000-0005-0000-0000-0000410D0000}"/>
    <cellStyle name="Millares 42 4" xfId="850" xr:uid="{00000000-0005-0000-0000-0000420D0000}"/>
    <cellStyle name="Millares 42 4 2" xfId="2433" xr:uid="{00000000-0005-0000-0000-0000430D0000}"/>
    <cellStyle name="Millares 42 4 2 2" xfId="4015" xr:uid="{00000000-0005-0000-0000-0000440D0000}"/>
    <cellStyle name="Millares 42 4 3" xfId="1642" xr:uid="{00000000-0005-0000-0000-0000450D0000}"/>
    <cellStyle name="Millares 42 4 4" xfId="3224" xr:uid="{00000000-0005-0000-0000-0000460D0000}"/>
    <cellStyle name="Millares 42 5" xfId="2039" xr:uid="{00000000-0005-0000-0000-0000470D0000}"/>
    <cellStyle name="Millares 42 5 2" xfId="3621" xr:uid="{00000000-0005-0000-0000-0000480D0000}"/>
    <cellStyle name="Millares 42 6" xfId="1248" xr:uid="{00000000-0005-0000-0000-0000490D0000}"/>
    <cellStyle name="Millares 42 7" xfId="2830" xr:uid="{00000000-0005-0000-0000-00004A0D0000}"/>
    <cellStyle name="Millares 43" xfId="439" xr:uid="{00000000-0005-0000-0000-00004B0D0000}"/>
    <cellStyle name="Millares 43 2" xfId="515" xr:uid="{00000000-0005-0000-0000-00004C0D0000}"/>
    <cellStyle name="Millares 43 2 2" xfId="743" xr:uid="{00000000-0005-0000-0000-00004D0D0000}"/>
    <cellStyle name="Millares 43 2 2 2" xfId="1143" xr:uid="{00000000-0005-0000-0000-00004E0D0000}"/>
    <cellStyle name="Millares 43 2 2 2 2" xfId="2726" xr:uid="{00000000-0005-0000-0000-00004F0D0000}"/>
    <cellStyle name="Millares 43 2 2 2 2 2" xfId="4308" xr:uid="{00000000-0005-0000-0000-0000500D0000}"/>
    <cellStyle name="Millares 43 2 2 2 3" xfId="1935" xr:uid="{00000000-0005-0000-0000-0000510D0000}"/>
    <cellStyle name="Millares 43 2 2 2 4" xfId="3517" xr:uid="{00000000-0005-0000-0000-0000520D0000}"/>
    <cellStyle name="Millares 43 2 2 3" xfId="2332" xr:uid="{00000000-0005-0000-0000-0000530D0000}"/>
    <cellStyle name="Millares 43 2 2 3 2" xfId="3914" xr:uid="{00000000-0005-0000-0000-0000540D0000}"/>
    <cellStyle name="Millares 43 2 2 4" xfId="1541" xr:uid="{00000000-0005-0000-0000-0000550D0000}"/>
    <cellStyle name="Millares 43 2 2 5" xfId="3123" xr:uid="{00000000-0005-0000-0000-0000560D0000}"/>
    <cellStyle name="Millares 43 2 3" xfId="922" xr:uid="{00000000-0005-0000-0000-0000570D0000}"/>
    <cellStyle name="Millares 43 2 3 2" xfId="2505" xr:uid="{00000000-0005-0000-0000-0000580D0000}"/>
    <cellStyle name="Millares 43 2 3 2 2" xfId="4087" xr:uid="{00000000-0005-0000-0000-0000590D0000}"/>
    <cellStyle name="Millares 43 2 3 3" xfId="1714" xr:uid="{00000000-0005-0000-0000-00005A0D0000}"/>
    <cellStyle name="Millares 43 2 3 4" xfId="3296" xr:uid="{00000000-0005-0000-0000-00005B0D0000}"/>
    <cellStyle name="Millares 43 2 4" xfId="2111" xr:uid="{00000000-0005-0000-0000-00005C0D0000}"/>
    <cellStyle name="Millares 43 2 4 2" xfId="3693" xr:uid="{00000000-0005-0000-0000-00005D0D0000}"/>
    <cellStyle name="Millares 43 2 5" xfId="1320" xr:uid="{00000000-0005-0000-0000-00005E0D0000}"/>
    <cellStyle name="Millares 43 2 6" xfId="2902" xr:uid="{00000000-0005-0000-0000-00005F0D0000}"/>
    <cellStyle name="Millares 43 3" xfId="667" xr:uid="{00000000-0005-0000-0000-0000600D0000}"/>
    <cellStyle name="Millares 43 3 2" xfId="1067" xr:uid="{00000000-0005-0000-0000-0000610D0000}"/>
    <cellStyle name="Millares 43 3 2 2" xfId="2650" xr:uid="{00000000-0005-0000-0000-0000620D0000}"/>
    <cellStyle name="Millares 43 3 2 2 2" xfId="4232" xr:uid="{00000000-0005-0000-0000-0000630D0000}"/>
    <cellStyle name="Millares 43 3 2 3" xfId="1859" xr:uid="{00000000-0005-0000-0000-0000640D0000}"/>
    <cellStyle name="Millares 43 3 2 4" xfId="3441" xr:uid="{00000000-0005-0000-0000-0000650D0000}"/>
    <cellStyle name="Millares 43 3 3" xfId="2256" xr:uid="{00000000-0005-0000-0000-0000660D0000}"/>
    <cellStyle name="Millares 43 3 3 2" xfId="3838" xr:uid="{00000000-0005-0000-0000-0000670D0000}"/>
    <cellStyle name="Millares 43 3 4" xfId="1465" xr:uid="{00000000-0005-0000-0000-0000680D0000}"/>
    <cellStyle name="Millares 43 3 5" xfId="3047" xr:uid="{00000000-0005-0000-0000-0000690D0000}"/>
    <cellStyle name="Millares 43 4" xfId="846" xr:uid="{00000000-0005-0000-0000-00006A0D0000}"/>
    <cellStyle name="Millares 43 4 2" xfId="2429" xr:uid="{00000000-0005-0000-0000-00006B0D0000}"/>
    <cellStyle name="Millares 43 4 2 2" xfId="4011" xr:uid="{00000000-0005-0000-0000-00006C0D0000}"/>
    <cellStyle name="Millares 43 4 3" xfId="1638" xr:uid="{00000000-0005-0000-0000-00006D0D0000}"/>
    <cellStyle name="Millares 43 4 4" xfId="3220" xr:uid="{00000000-0005-0000-0000-00006E0D0000}"/>
    <cellStyle name="Millares 43 5" xfId="2035" xr:uid="{00000000-0005-0000-0000-00006F0D0000}"/>
    <cellStyle name="Millares 43 5 2" xfId="3617" xr:uid="{00000000-0005-0000-0000-0000700D0000}"/>
    <cellStyle name="Millares 43 6" xfId="1244" xr:uid="{00000000-0005-0000-0000-0000710D0000}"/>
    <cellStyle name="Millares 43 7" xfId="2826" xr:uid="{00000000-0005-0000-0000-0000720D0000}"/>
    <cellStyle name="Millares 44" xfId="441" xr:uid="{00000000-0005-0000-0000-0000730D0000}"/>
    <cellStyle name="Millares 44 2" xfId="517" xr:uid="{00000000-0005-0000-0000-0000740D0000}"/>
    <cellStyle name="Millares 44 2 2" xfId="745" xr:uid="{00000000-0005-0000-0000-0000750D0000}"/>
    <cellStyle name="Millares 44 2 2 2" xfId="1145" xr:uid="{00000000-0005-0000-0000-0000760D0000}"/>
    <cellStyle name="Millares 44 2 2 2 2" xfId="2728" xr:uid="{00000000-0005-0000-0000-0000770D0000}"/>
    <cellStyle name="Millares 44 2 2 2 2 2" xfId="4310" xr:uid="{00000000-0005-0000-0000-0000780D0000}"/>
    <cellStyle name="Millares 44 2 2 2 3" xfId="1937" xr:uid="{00000000-0005-0000-0000-0000790D0000}"/>
    <cellStyle name="Millares 44 2 2 2 4" xfId="3519" xr:uid="{00000000-0005-0000-0000-00007A0D0000}"/>
    <cellStyle name="Millares 44 2 2 3" xfId="2334" xr:uid="{00000000-0005-0000-0000-00007B0D0000}"/>
    <cellStyle name="Millares 44 2 2 3 2" xfId="3916" xr:uid="{00000000-0005-0000-0000-00007C0D0000}"/>
    <cellStyle name="Millares 44 2 2 4" xfId="1543" xr:uid="{00000000-0005-0000-0000-00007D0D0000}"/>
    <cellStyle name="Millares 44 2 2 5" xfId="3125" xr:uid="{00000000-0005-0000-0000-00007E0D0000}"/>
    <cellStyle name="Millares 44 2 3" xfId="924" xr:uid="{00000000-0005-0000-0000-00007F0D0000}"/>
    <cellStyle name="Millares 44 2 3 2" xfId="2507" xr:uid="{00000000-0005-0000-0000-0000800D0000}"/>
    <cellStyle name="Millares 44 2 3 2 2" xfId="4089" xr:uid="{00000000-0005-0000-0000-0000810D0000}"/>
    <cellStyle name="Millares 44 2 3 3" xfId="1716" xr:uid="{00000000-0005-0000-0000-0000820D0000}"/>
    <cellStyle name="Millares 44 2 3 4" xfId="3298" xr:uid="{00000000-0005-0000-0000-0000830D0000}"/>
    <cellStyle name="Millares 44 2 4" xfId="2113" xr:uid="{00000000-0005-0000-0000-0000840D0000}"/>
    <cellStyle name="Millares 44 2 4 2" xfId="3695" xr:uid="{00000000-0005-0000-0000-0000850D0000}"/>
    <cellStyle name="Millares 44 2 5" xfId="1322" xr:uid="{00000000-0005-0000-0000-0000860D0000}"/>
    <cellStyle name="Millares 44 2 6" xfId="2904" xr:uid="{00000000-0005-0000-0000-0000870D0000}"/>
    <cellStyle name="Millares 44 3" xfId="669" xr:uid="{00000000-0005-0000-0000-0000880D0000}"/>
    <cellStyle name="Millares 44 3 2" xfId="1069" xr:uid="{00000000-0005-0000-0000-0000890D0000}"/>
    <cellStyle name="Millares 44 3 2 2" xfId="2652" xr:uid="{00000000-0005-0000-0000-00008A0D0000}"/>
    <cellStyle name="Millares 44 3 2 2 2" xfId="4234" xr:uid="{00000000-0005-0000-0000-00008B0D0000}"/>
    <cellStyle name="Millares 44 3 2 3" xfId="1861" xr:uid="{00000000-0005-0000-0000-00008C0D0000}"/>
    <cellStyle name="Millares 44 3 2 4" xfId="3443" xr:uid="{00000000-0005-0000-0000-00008D0D0000}"/>
    <cellStyle name="Millares 44 3 3" xfId="2258" xr:uid="{00000000-0005-0000-0000-00008E0D0000}"/>
    <cellStyle name="Millares 44 3 3 2" xfId="3840" xr:uid="{00000000-0005-0000-0000-00008F0D0000}"/>
    <cellStyle name="Millares 44 3 4" xfId="1467" xr:uid="{00000000-0005-0000-0000-0000900D0000}"/>
    <cellStyle name="Millares 44 3 5" xfId="3049" xr:uid="{00000000-0005-0000-0000-0000910D0000}"/>
    <cellStyle name="Millares 44 4" xfId="848" xr:uid="{00000000-0005-0000-0000-0000920D0000}"/>
    <cellStyle name="Millares 44 4 2" xfId="2431" xr:uid="{00000000-0005-0000-0000-0000930D0000}"/>
    <cellStyle name="Millares 44 4 2 2" xfId="4013" xr:uid="{00000000-0005-0000-0000-0000940D0000}"/>
    <cellStyle name="Millares 44 4 3" xfId="1640" xr:uid="{00000000-0005-0000-0000-0000950D0000}"/>
    <cellStyle name="Millares 44 4 4" xfId="3222" xr:uid="{00000000-0005-0000-0000-0000960D0000}"/>
    <cellStyle name="Millares 44 5" xfId="2037" xr:uid="{00000000-0005-0000-0000-0000970D0000}"/>
    <cellStyle name="Millares 44 5 2" xfId="3619" xr:uid="{00000000-0005-0000-0000-0000980D0000}"/>
    <cellStyle name="Millares 44 6" xfId="1246" xr:uid="{00000000-0005-0000-0000-0000990D0000}"/>
    <cellStyle name="Millares 44 7" xfId="2828" xr:uid="{00000000-0005-0000-0000-00009A0D0000}"/>
    <cellStyle name="Millares 45" xfId="442" xr:uid="{00000000-0005-0000-0000-00009B0D0000}"/>
    <cellStyle name="Millares 45 2" xfId="518" xr:uid="{00000000-0005-0000-0000-00009C0D0000}"/>
    <cellStyle name="Millares 45 2 2" xfId="746" xr:uid="{00000000-0005-0000-0000-00009D0D0000}"/>
    <cellStyle name="Millares 45 2 2 2" xfId="1146" xr:uid="{00000000-0005-0000-0000-00009E0D0000}"/>
    <cellStyle name="Millares 45 2 2 2 2" xfId="2729" xr:uid="{00000000-0005-0000-0000-00009F0D0000}"/>
    <cellStyle name="Millares 45 2 2 2 2 2" xfId="4311" xr:uid="{00000000-0005-0000-0000-0000A00D0000}"/>
    <cellStyle name="Millares 45 2 2 2 3" xfId="1938" xr:uid="{00000000-0005-0000-0000-0000A10D0000}"/>
    <cellStyle name="Millares 45 2 2 2 4" xfId="3520" xr:uid="{00000000-0005-0000-0000-0000A20D0000}"/>
    <cellStyle name="Millares 45 2 2 3" xfId="2335" xr:uid="{00000000-0005-0000-0000-0000A30D0000}"/>
    <cellStyle name="Millares 45 2 2 3 2" xfId="3917" xr:uid="{00000000-0005-0000-0000-0000A40D0000}"/>
    <cellStyle name="Millares 45 2 2 4" xfId="1544" xr:uid="{00000000-0005-0000-0000-0000A50D0000}"/>
    <cellStyle name="Millares 45 2 2 5" xfId="3126" xr:uid="{00000000-0005-0000-0000-0000A60D0000}"/>
    <cellStyle name="Millares 45 2 3" xfId="925" xr:uid="{00000000-0005-0000-0000-0000A70D0000}"/>
    <cellStyle name="Millares 45 2 3 2" xfId="2508" xr:uid="{00000000-0005-0000-0000-0000A80D0000}"/>
    <cellStyle name="Millares 45 2 3 2 2" xfId="4090" xr:uid="{00000000-0005-0000-0000-0000A90D0000}"/>
    <cellStyle name="Millares 45 2 3 3" xfId="1717" xr:uid="{00000000-0005-0000-0000-0000AA0D0000}"/>
    <cellStyle name="Millares 45 2 3 4" xfId="3299" xr:uid="{00000000-0005-0000-0000-0000AB0D0000}"/>
    <cellStyle name="Millares 45 2 4" xfId="2114" xr:uid="{00000000-0005-0000-0000-0000AC0D0000}"/>
    <cellStyle name="Millares 45 2 4 2" xfId="3696" xr:uid="{00000000-0005-0000-0000-0000AD0D0000}"/>
    <cellStyle name="Millares 45 2 5" xfId="1323" xr:uid="{00000000-0005-0000-0000-0000AE0D0000}"/>
    <cellStyle name="Millares 45 2 6" xfId="2905" xr:uid="{00000000-0005-0000-0000-0000AF0D0000}"/>
    <cellStyle name="Millares 45 3" xfId="670" xr:uid="{00000000-0005-0000-0000-0000B00D0000}"/>
    <cellStyle name="Millares 45 3 2" xfId="1070" xr:uid="{00000000-0005-0000-0000-0000B10D0000}"/>
    <cellStyle name="Millares 45 3 2 2" xfId="2653" xr:uid="{00000000-0005-0000-0000-0000B20D0000}"/>
    <cellStyle name="Millares 45 3 2 2 2" xfId="4235" xr:uid="{00000000-0005-0000-0000-0000B30D0000}"/>
    <cellStyle name="Millares 45 3 2 3" xfId="1862" xr:uid="{00000000-0005-0000-0000-0000B40D0000}"/>
    <cellStyle name="Millares 45 3 2 4" xfId="3444" xr:uid="{00000000-0005-0000-0000-0000B50D0000}"/>
    <cellStyle name="Millares 45 3 3" xfId="2259" xr:uid="{00000000-0005-0000-0000-0000B60D0000}"/>
    <cellStyle name="Millares 45 3 3 2" xfId="3841" xr:uid="{00000000-0005-0000-0000-0000B70D0000}"/>
    <cellStyle name="Millares 45 3 4" xfId="1468" xr:uid="{00000000-0005-0000-0000-0000B80D0000}"/>
    <cellStyle name="Millares 45 3 5" xfId="3050" xr:uid="{00000000-0005-0000-0000-0000B90D0000}"/>
    <cellStyle name="Millares 45 4" xfId="849" xr:uid="{00000000-0005-0000-0000-0000BA0D0000}"/>
    <cellStyle name="Millares 45 4 2" xfId="2432" xr:uid="{00000000-0005-0000-0000-0000BB0D0000}"/>
    <cellStyle name="Millares 45 4 2 2" xfId="4014" xr:uid="{00000000-0005-0000-0000-0000BC0D0000}"/>
    <cellStyle name="Millares 45 4 3" xfId="1641" xr:uid="{00000000-0005-0000-0000-0000BD0D0000}"/>
    <cellStyle name="Millares 45 4 4" xfId="3223" xr:uid="{00000000-0005-0000-0000-0000BE0D0000}"/>
    <cellStyle name="Millares 45 5" xfId="2038" xr:uid="{00000000-0005-0000-0000-0000BF0D0000}"/>
    <cellStyle name="Millares 45 5 2" xfId="3620" xr:uid="{00000000-0005-0000-0000-0000C00D0000}"/>
    <cellStyle name="Millares 45 6" xfId="1247" xr:uid="{00000000-0005-0000-0000-0000C10D0000}"/>
    <cellStyle name="Millares 45 7" xfId="2829" xr:uid="{00000000-0005-0000-0000-0000C20D0000}"/>
    <cellStyle name="Millares 46" xfId="445" xr:uid="{00000000-0005-0000-0000-0000C30D0000}"/>
    <cellStyle name="Millares 46 2" xfId="673" xr:uid="{00000000-0005-0000-0000-0000C40D0000}"/>
    <cellStyle name="Millares 46 2 2" xfId="1073" xr:uid="{00000000-0005-0000-0000-0000C50D0000}"/>
    <cellStyle name="Millares 46 2 2 2" xfId="2656" xr:uid="{00000000-0005-0000-0000-0000C60D0000}"/>
    <cellStyle name="Millares 46 2 2 2 2" xfId="4238" xr:uid="{00000000-0005-0000-0000-0000C70D0000}"/>
    <cellStyle name="Millares 46 2 2 3" xfId="1865" xr:uid="{00000000-0005-0000-0000-0000C80D0000}"/>
    <cellStyle name="Millares 46 2 2 4" xfId="3447" xr:uid="{00000000-0005-0000-0000-0000C90D0000}"/>
    <cellStyle name="Millares 46 2 3" xfId="2262" xr:uid="{00000000-0005-0000-0000-0000CA0D0000}"/>
    <cellStyle name="Millares 46 2 3 2" xfId="3844" xr:uid="{00000000-0005-0000-0000-0000CB0D0000}"/>
    <cellStyle name="Millares 46 2 4" xfId="1471" xr:uid="{00000000-0005-0000-0000-0000CC0D0000}"/>
    <cellStyle name="Millares 46 2 5" xfId="3053" xr:uid="{00000000-0005-0000-0000-0000CD0D0000}"/>
    <cellStyle name="Millares 46 3" xfId="852" xr:uid="{00000000-0005-0000-0000-0000CE0D0000}"/>
    <cellStyle name="Millares 46 3 2" xfId="2435" xr:uid="{00000000-0005-0000-0000-0000CF0D0000}"/>
    <cellStyle name="Millares 46 3 2 2" xfId="4017" xr:uid="{00000000-0005-0000-0000-0000D00D0000}"/>
    <cellStyle name="Millares 46 3 3" xfId="1644" xr:uid="{00000000-0005-0000-0000-0000D10D0000}"/>
    <cellStyle name="Millares 46 3 4" xfId="3226" xr:uid="{00000000-0005-0000-0000-0000D20D0000}"/>
    <cellStyle name="Millares 46 4" xfId="2041" xr:uid="{00000000-0005-0000-0000-0000D30D0000}"/>
    <cellStyle name="Millares 46 4 2" xfId="3623" xr:uid="{00000000-0005-0000-0000-0000D40D0000}"/>
    <cellStyle name="Millares 46 5" xfId="1250" xr:uid="{00000000-0005-0000-0000-0000D50D0000}"/>
    <cellStyle name="Millares 46 6" xfId="2832" xr:uid="{00000000-0005-0000-0000-0000D60D0000}"/>
    <cellStyle name="Millares 47" xfId="521" xr:uid="{00000000-0005-0000-0000-0000D70D0000}"/>
    <cellStyle name="Millares 47 2" xfId="928" xr:uid="{00000000-0005-0000-0000-0000D80D0000}"/>
    <cellStyle name="Millares 47 2 2" xfId="2511" xr:uid="{00000000-0005-0000-0000-0000D90D0000}"/>
    <cellStyle name="Millares 47 2 2 2" xfId="4093" xr:uid="{00000000-0005-0000-0000-0000DA0D0000}"/>
    <cellStyle name="Millares 47 2 3" xfId="1720" xr:uid="{00000000-0005-0000-0000-0000DB0D0000}"/>
    <cellStyle name="Millares 47 2 4" xfId="3302" xr:uid="{00000000-0005-0000-0000-0000DC0D0000}"/>
    <cellStyle name="Millares 47 3" xfId="2117" xr:uid="{00000000-0005-0000-0000-0000DD0D0000}"/>
    <cellStyle name="Millares 47 3 2" xfId="3699" xr:uid="{00000000-0005-0000-0000-0000DE0D0000}"/>
    <cellStyle name="Millares 47 4" xfId="1326" xr:uid="{00000000-0005-0000-0000-0000DF0D0000}"/>
    <cellStyle name="Millares 47 5" xfId="2908" xr:uid="{00000000-0005-0000-0000-0000E00D0000}"/>
    <cellStyle name="Millares 48" xfId="523" xr:uid="{00000000-0005-0000-0000-0000E10D0000}"/>
    <cellStyle name="Millares 48 2" xfId="930" xr:uid="{00000000-0005-0000-0000-0000E20D0000}"/>
    <cellStyle name="Millares 48 2 2" xfId="2513" xr:uid="{00000000-0005-0000-0000-0000E30D0000}"/>
    <cellStyle name="Millares 48 2 2 2" xfId="4095" xr:uid="{00000000-0005-0000-0000-0000E40D0000}"/>
    <cellStyle name="Millares 48 2 3" xfId="1722" xr:uid="{00000000-0005-0000-0000-0000E50D0000}"/>
    <cellStyle name="Millares 48 2 4" xfId="3304" xr:uid="{00000000-0005-0000-0000-0000E60D0000}"/>
    <cellStyle name="Millares 48 3" xfId="2119" xr:uid="{00000000-0005-0000-0000-0000E70D0000}"/>
    <cellStyle name="Millares 48 3 2" xfId="3701" xr:uid="{00000000-0005-0000-0000-0000E80D0000}"/>
    <cellStyle name="Millares 48 4" xfId="1328" xr:uid="{00000000-0005-0000-0000-0000E90D0000}"/>
    <cellStyle name="Millares 48 5" xfId="2910" xr:uid="{00000000-0005-0000-0000-0000EA0D0000}"/>
    <cellStyle name="Millares 49" xfId="597" xr:uid="{00000000-0005-0000-0000-0000EB0D0000}"/>
    <cellStyle name="Millares 49 2" xfId="997" xr:uid="{00000000-0005-0000-0000-0000EC0D0000}"/>
    <cellStyle name="Millares 49 2 2" xfId="2580" xr:uid="{00000000-0005-0000-0000-0000ED0D0000}"/>
    <cellStyle name="Millares 49 2 2 2" xfId="4162" xr:uid="{00000000-0005-0000-0000-0000EE0D0000}"/>
    <cellStyle name="Millares 49 2 3" xfId="1789" xr:uid="{00000000-0005-0000-0000-0000EF0D0000}"/>
    <cellStyle name="Millares 49 2 4" xfId="3371" xr:uid="{00000000-0005-0000-0000-0000F00D0000}"/>
    <cellStyle name="Millares 49 3" xfId="2186" xr:uid="{00000000-0005-0000-0000-0000F10D0000}"/>
    <cellStyle name="Millares 49 3 2" xfId="3768" xr:uid="{00000000-0005-0000-0000-0000F20D0000}"/>
    <cellStyle name="Millares 49 4" xfId="1395" xr:uid="{00000000-0005-0000-0000-0000F30D0000}"/>
    <cellStyle name="Millares 49 5" xfId="2977" xr:uid="{00000000-0005-0000-0000-0000F40D0000}"/>
    <cellStyle name="Millares 5" xfId="299" xr:uid="{00000000-0005-0000-0000-0000F50D0000}"/>
    <cellStyle name="Millares 5 10" xfId="1180" xr:uid="{00000000-0005-0000-0000-0000F60D0000}"/>
    <cellStyle name="Millares 5 11" xfId="2762" xr:uid="{00000000-0005-0000-0000-0000F70D0000}"/>
    <cellStyle name="Millares 5 12" xfId="4596" xr:uid="{38F1DE25-1F93-4A83-88A3-96DFAAA9EA32}"/>
    <cellStyle name="Millares 5 13" xfId="4618" xr:uid="{8F4AF05E-DAD3-46F5-A726-7A2FAF53D1AB}"/>
    <cellStyle name="Millares 5 13 2" xfId="4995" xr:uid="{6E1308CD-291B-467B-A4B6-5134ECB506AA}"/>
    <cellStyle name="Millares 5 14" xfId="4890" xr:uid="{94B37093-C308-449A-8387-81E14BE784B2}"/>
    <cellStyle name="Millares 5 14 2" xfId="5175" xr:uid="{2F77B9BF-6A14-49F2-81E6-200A6D9BA5DE}"/>
    <cellStyle name="Millares 5 15" xfId="4376" xr:uid="{58039B45-CECD-43C2-AAEB-D3EC35EE80C3}"/>
    <cellStyle name="Millares 5 16" xfId="4900" xr:uid="{D0A84937-131D-4B78-9B9B-F44D7EB6F493}"/>
    <cellStyle name="Millares 5 2" xfId="318" xr:uid="{00000000-0005-0000-0000-0000F80D0000}"/>
    <cellStyle name="Millares 5 2 10" xfId="2775" xr:uid="{00000000-0005-0000-0000-0000F90D0000}"/>
    <cellStyle name="Millares 5 2 11" xfId="4597" xr:uid="{D031A20A-FBDB-4F01-A734-8D4546355D8B}"/>
    <cellStyle name="Millares 5 2 12" xfId="4645" xr:uid="{6180F8AE-5189-4584-8F11-0BF675A8E378}"/>
    <cellStyle name="Millares 5 2 12 2" xfId="5018" xr:uid="{FC1E8F20-A5DE-4322-8CE5-F05469353BE8}"/>
    <cellStyle name="Millares 5 2 13" xfId="4891" xr:uid="{15A51271-AF47-4495-BE43-FD92F5D8BE30}"/>
    <cellStyle name="Millares 5 2 13 2" xfId="5176" xr:uid="{1C2D2D2A-23AA-4A20-BE77-5A88F7A77797}"/>
    <cellStyle name="Millares 5 2 14" xfId="4411" xr:uid="{D976D03B-5709-4C5A-A8DF-DAE539B44207}"/>
    <cellStyle name="Millares 5 2 15" xfId="4907" xr:uid="{4DDA7035-42EA-4F18-B057-64B0BB87603A}"/>
    <cellStyle name="Millares 5 2 2" xfId="396" xr:uid="{00000000-0005-0000-0000-0000FA0D0000}"/>
    <cellStyle name="Millares 5 2 2 2" xfId="505" xr:uid="{00000000-0005-0000-0000-0000FB0D0000}"/>
    <cellStyle name="Millares 5 2 2 2 2" xfId="733" xr:uid="{00000000-0005-0000-0000-0000FC0D0000}"/>
    <cellStyle name="Millares 5 2 2 2 2 2" xfId="1133" xr:uid="{00000000-0005-0000-0000-0000FD0D0000}"/>
    <cellStyle name="Millares 5 2 2 2 2 2 2" xfId="2716" xr:uid="{00000000-0005-0000-0000-0000FE0D0000}"/>
    <cellStyle name="Millares 5 2 2 2 2 2 2 2" xfId="4298" xr:uid="{00000000-0005-0000-0000-0000FF0D0000}"/>
    <cellStyle name="Millares 5 2 2 2 2 2 3" xfId="1925" xr:uid="{00000000-0005-0000-0000-0000000E0000}"/>
    <cellStyle name="Millares 5 2 2 2 2 2 4" xfId="3507" xr:uid="{00000000-0005-0000-0000-0000010E0000}"/>
    <cellStyle name="Millares 5 2 2 2 2 3" xfId="2322" xr:uid="{00000000-0005-0000-0000-0000020E0000}"/>
    <cellStyle name="Millares 5 2 2 2 2 3 2" xfId="3904" xr:uid="{00000000-0005-0000-0000-0000030E0000}"/>
    <cellStyle name="Millares 5 2 2 2 2 4" xfId="1531" xr:uid="{00000000-0005-0000-0000-0000040E0000}"/>
    <cellStyle name="Millares 5 2 2 2 2 5" xfId="3113" xr:uid="{00000000-0005-0000-0000-0000050E0000}"/>
    <cellStyle name="Millares 5 2 2 2 3" xfId="912" xr:uid="{00000000-0005-0000-0000-0000060E0000}"/>
    <cellStyle name="Millares 5 2 2 2 3 2" xfId="2495" xr:uid="{00000000-0005-0000-0000-0000070E0000}"/>
    <cellStyle name="Millares 5 2 2 2 3 2 2" xfId="4077" xr:uid="{00000000-0005-0000-0000-0000080E0000}"/>
    <cellStyle name="Millares 5 2 2 2 3 3" xfId="1704" xr:uid="{00000000-0005-0000-0000-0000090E0000}"/>
    <cellStyle name="Millares 5 2 2 2 3 4" xfId="3286" xr:uid="{00000000-0005-0000-0000-00000A0E0000}"/>
    <cellStyle name="Millares 5 2 2 2 4" xfId="2101" xr:uid="{00000000-0005-0000-0000-00000B0E0000}"/>
    <cellStyle name="Millares 5 2 2 2 4 2" xfId="3683" xr:uid="{00000000-0005-0000-0000-00000C0E0000}"/>
    <cellStyle name="Millares 5 2 2 2 5" xfId="1310" xr:uid="{00000000-0005-0000-0000-00000D0E0000}"/>
    <cellStyle name="Millares 5 2 2 2 6" xfId="2892" xr:uid="{00000000-0005-0000-0000-00000E0E0000}"/>
    <cellStyle name="Millares 5 2 2 3" xfId="582" xr:uid="{00000000-0005-0000-0000-00000F0E0000}"/>
    <cellStyle name="Millares 5 2 2 3 2" xfId="989" xr:uid="{00000000-0005-0000-0000-0000100E0000}"/>
    <cellStyle name="Millares 5 2 2 3 2 2" xfId="2572" xr:uid="{00000000-0005-0000-0000-0000110E0000}"/>
    <cellStyle name="Millares 5 2 2 3 2 2 2" xfId="4154" xr:uid="{00000000-0005-0000-0000-0000120E0000}"/>
    <cellStyle name="Millares 5 2 2 3 2 3" xfId="1781" xr:uid="{00000000-0005-0000-0000-0000130E0000}"/>
    <cellStyle name="Millares 5 2 2 3 2 4" xfId="3363" xr:uid="{00000000-0005-0000-0000-0000140E0000}"/>
    <cellStyle name="Millares 5 2 2 3 3" xfId="2178" xr:uid="{00000000-0005-0000-0000-0000150E0000}"/>
    <cellStyle name="Millares 5 2 2 3 3 2" xfId="3760" xr:uid="{00000000-0005-0000-0000-0000160E0000}"/>
    <cellStyle name="Millares 5 2 2 3 4" xfId="1387" xr:uid="{00000000-0005-0000-0000-0000170E0000}"/>
    <cellStyle name="Millares 5 2 2 3 5" xfId="2969" xr:uid="{00000000-0005-0000-0000-0000180E0000}"/>
    <cellStyle name="Millares 5 2 2 4" xfId="657" xr:uid="{00000000-0005-0000-0000-0000190E0000}"/>
    <cellStyle name="Millares 5 2 2 4 2" xfId="1057" xr:uid="{00000000-0005-0000-0000-00001A0E0000}"/>
    <cellStyle name="Millares 5 2 2 4 2 2" xfId="2640" xr:uid="{00000000-0005-0000-0000-00001B0E0000}"/>
    <cellStyle name="Millares 5 2 2 4 2 2 2" xfId="4222" xr:uid="{00000000-0005-0000-0000-00001C0E0000}"/>
    <cellStyle name="Millares 5 2 2 4 2 3" xfId="1849" xr:uid="{00000000-0005-0000-0000-00001D0E0000}"/>
    <cellStyle name="Millares 5 2 2 4 2 4" xfId="3431" xr:uid="{00000000-0005-0000-0000-00001E0E0000}"/>
    <cellStyle name="Millares 5 2 2 4 3" xfId="2246" xr:uid="{00000000-0005-0000-0000-00001F0E0000}"/>
    <cellStyle name="Millares 5 2 2 4 3 2" xfId="3828" xr:uid="{00000000-0005-0000-0000-0000200E0000}"/>
    <cellStyle name="Millares 5 2 2 4 4" xfId="1455" xr:uid="{00000000-0005-0000-0000-0000210E0000}"/>
    <cellStyle name="Millares 5 2 2 4 5" xfId="3037" xr:uid="{00000000-0005-0000-0000-0000220E0000}"/>
    <cellStyle name="Millares 5 2 2 5" xfId="836" xr:uid="{00000000-0005-0000-0000-0000230E0000}"/>
    <cellStyle name="Millares 5 2 2 5 2" xfId="2419" xr:uid="{00000000-0005-0000-0000-0000240E0000}"/>
    <cellStyle name="Millares 5 2 2 5 2 2" xfId="4001" xr:uid="{00000000-0005-0000-0000-0000250E0000}"/>
    <cellStyle name="Millares 5 2 2 5 3" xfId="1628" xr:uid="{00000000-0005-0000-0000-0000260E0000}"/>
    <cellStyle name="Millares 5 2 2 5 4" xfId="3210" xr:uid="{00000000-0005-0000-0000-0000270E0000}"/>
    <cellStyle name="Millares 5 2 2 6" xfId="2025" xr:uid="{00000000-0005-0000-0000-0000280E0000}"/>
    <cellStyle name="Millares 5 2 2 6 2" xfId="3607" xr:uid="{00000000-0005-0000-0000-0000290E0000}"/>
    <cellStyle name="Millares 5 2 2 7" xfId="1234" xr:uid="{00000000-0005-0000-0000-00002A0E0000}"/>
    <cellStyle name="Millares 5 2 2 8" xfId="2816" xr:uid="{00000000-0005-0000-0000-00002B0E0000}"/>
    <cellStyle name="Millares 5 2 3" xfId="464" xr:uid="{00000000-0005-0000-0000-00002C0E0000}"/>
    <cellStyle name="Millares 5 2 3 2" xfId="692" xr:uid="{00000000-0005-0000-0000-00002D0E0000}"/>
    <cellStyle name="Millares 5 2 3 2 2" xfId="1092" xr:uid="{00000000-0005-0000-0000-00002E0E0000}"/>
    <cellStyle name="Millares 5 2 3 2 2 2" xfId="2675" xr:uid="{00000000-0005-0000-0000-00002F0E0000}"/>
    <cellStyle name="Millares 5 2 3 2 2 2 2" xfId="4257" xr:uid="{00000000-0005-0000-0000-0000300E0000}"/>
    <cellStyle name="Millares 5 2 3 2 2 3" xfId="1884" xr:uid="{00000000-0005-0000-0000-0000310E0000}"/>
    <cellStyle name="Millares 5 2 3 2 2 4" xfId="3466" xr:uid="{00000000-0005-0000-0000-0000320E0000}"/>
    <cellStyle name="Millares 5 2 3 2 3" xfId="2281" xr:uid="{00000000-0005-0000-0000-0000330E0000}"/>
    <cellStyle name="Millares 5 2 3 2 3 2" xfId="3863" xr:uid="{00000000-0005-0000-0000-0000340E0000}"/>
    <cellStyle name="Millares 5 2 3 2 4" xfId="1490" xr:uid="{00000000-0005-0000-0000-0000350E0000}"/>
    <cellStyle name="Millares 5 2 3 2 5" xfId="3072" xr:uid="{00000000-0005-0000-0000-0000360E0000}"/>
    <cellStyle name="Millares 5 2 3 3" xfId="871" xr:uid="{00000000-0005-0000-0000-0000370E0000}"/>
    <cellStyle name="Millares 5 2 3 3 2" xfId="2454" xr:uid="{00000000-0005-0000-0000-0000380E0000}"/>
    <cellStyle name="Millares 5 2 3 3 2 2" xfId="4036" xr:uid="{00000000-0005-0000-0000-0000390E0000}"/>
    <cellStyle name="Millares 5 2 3 3 3" xfId="1663" xr:uid="{00000000-0005-0000-0000-00003A0E0000}"/>
    <cellStyle name="Millares 5 2 3 3 4" xfId="3245" xr:uid="{00000000-0005-0000-0000-00003B0E0000}"/>
    <cellStyle name="Millares 5 2 3 4" xfId="2060" xr:uid="{00000000-0005-0000-0000-00003C0E0000}"/>
    <cellStyle name="Millares 5 2 3 4 2" xfId="3642" xr:uid="{00000000-0005-0000-0000-00003D0E0000}"/>
    <cellStyle name="Millares 5 2 3 5" xfId="1269" xr:uid="{00000000-0005-0000-0000-00003E0E0000}"/>
    <cellStyle name="Millares 5 2 3 6" xfId="2851" xr:uid="{00000000-0005-0000-0000-00003F0E0000}"/>
    <cellStyle name="Millares 5 2 4" xfId="541" xr:uid="{00000000-0005-0000-0000-0000400E0000}"/>
    <cellStyle name="Millares 5 2 4 2" xfId="948" xr:uid="{00000000-0005-0000-0000-0000410E0000}"/>
    <cellStyle name="Millares 5 2 4 2 2" xfId="2531" xr:uid="{00000000-0005-0000-0000-0000420E0000}"/>
    <cellStyle name="Millares 5 2 4 2 2 2" xfId="4113" xr:uid="{00000000-0005-0000-0000-0000430E0000}"/>
    <cellStyle name="Millares 5 2 4 2 3" xfId="1740" xr:uid="{00000000-0005-0000-0000-0000440E0000}"/>
    <cellStyle name="Millares 5 2 4 2 4" xfId="3322" xr:uid="{00000000-0005-0000-0000-0000450E0000}"/>
    <cellStyle name="Millares 5 2 4 3" xfId="2137" xr:uid="{00000000-0005-0000-0000-0000460E0000}"/>
    <cellStyle name="Millares 5 2 4 3 2" xfId="3719" xr:uid="{00000000-0005-0000-0000-0000470E0000}"/>
    <cellStyle name="Millares 5 2 4 4" xfId="1346" xr:uid="{00000000-0005-0000-0000-0000480E0000}"/>
    <cellStyle name="Millares 5 2 4 5" xfId="2928" xr:uid="{00000000-0005-0000-0000-0000490E0000}"/>
    <cellStyle name="Millares 5 2 5" xfId="616" xr:uid="{00000000-0005-0000-0000-00004A0E0000}"/>
    <cellStyle name="Millares 5 2 5 2" xfId="1016" xr:uid="{00000000-0005-0000-0000-00004B0E0000}"/>
    <cellStyle name="Millares 5 2 5 2 2" xfId="2599" xr:uid="{00000000-0005-0000-0000-00004C0E0000}"/>
    <cellStyle name="Millares 5 2 5 2 2 2" xfId="4181" xr:uid="{00000000-0005-0000-0000-00004D0E0000}"/>
    <cellStyle name="Millares 5 2 5 2 3" xfId="1808" xr:uid="{00000000-0005-0000-0000-00004E0E0000}"/>
    <cellStyle name="Millares 5 2 5 2 4" xfId="3390" xr:uid="{00000000-0005-0000-0000-00004F0E0000}"/>
    <cellStyle name="Millares 5 2 5 3" xfId="2205" xr:uid="{00000000-0005-0000-0000-0000500E0000}"/>
    <cellStyle name="Millares 5 2 5 3 2" xfId="3787" xr:uid="{00000000-0005-0000-0000-0000510E0000}"/>
    <cellStyle name="Millares 5 2 5 4" xfId="1414" xr:uid="{00000000-0005-0000-0000-0000520E0000}"/>
    <cellStyle name="Millares 5 2 5 5" xfId="2996" xr:uid="{00000000-0005-0000-0000-0000530E0000}"/>
    <cellStyle name="Millares 5 2 6" xfId="768" xr:uid="{00000000-0005-0000-0000-0000540E0000}"/>
    <cellStyle name="Millares 5 2 6 2" xfId="1168" xr:uid="{00000000-0005-0000-0000-0000550E0000}"/>
    <cellStyle name="Millares 5 2 6 2 2" xfId="2751" xr:uid="{00000000-0005-0000-0000-0000560E0000}"/>
    <cellStyle name="Millares 5 2 6 2 2 2" xfId="4333" xr:uid="{00000000-0005-0000-0000-0000570E0000}"/>
    <cellStyle name="Millares 5 2 6 2 3" xfId="1960" xr:uid="{00000000-0005-0000-0000-0000580E0000}"/>
    <cellStyle name="Millares 5 2 6 2 4" xfId="3542" xr:uid="{00000000-0005-0000-0000-0000590E0000}"/>
    <cellStyle name="Millares 5 2 6 3" xfId="2357" xr:uid="{00000000-0005-0000-0000-00005A0E0000}"/>
    <cellStyle name="Millares 5 2 6 3 2" xfId="3939" xr:uid="{00000000-0005-0000-0000-00005B0E0000}"/>
    <cellStyle name="Millares 5 2 6 4" xfId="1566" xr:uid="{00000000-0005-0000-0000-00005C0E0000}"/>
    <cellStyle name="Millares 5 2 6 5" xfId="3148" xr:uid="{00000000-0005-0000-0000-00005D0E0000}"/>
    <cellStyle name="Millares 5 2 7" xfId="795" xr:uid="{00000000-0005-0000-0000-00005E0E0000}"/>
    <cellStyle name="Millares 5 2 7 2" xfId="2378" xr:uid="{00000000-0005-0000-0000-00005F0E0000}"/>
    <cellStyle name="Millares 5 2 7 2 2" xfId="3960" xr:uid="{00000000-0005-0000-0000-0000600E0000}"/>
    <cellStyle name="Millares 5 2 7 3" xfId="1587" xr:uid="{00000000-0005-0000-0000-0000610E0000}"/>
    <cellStyle name="Millares 5 2 7 4" xfId="3169" xr:uid="{00000000-0005-0000-0000-0000620E0000}"/>
    <cellStyle name="Millares 5 2 8" xfId="1984" xr:uid="{00000000-0005-0000-0000-0000630E0000}"/>
    <cellStyle name="Millares 5 2 8 2" xfId="3566" xr:uid="{00000000-0005-0000-0000-0000640E0000}"/>
    <cellStyle name="Millares 5 2 9" xfId="1193" xr:uid="{00000000-0005-0000-0000-0000650E0000}"/>
    <cellStyle name="Millares 5 3" xfId="377" xr:uid="{00000000-0005-0000-0000-0000660E0000}"/>
    <cellStyle name="Millares 5 3 2" xfId="492" xr:uid="{00000000-0005-0000-0000-0000670E0000}"/>
    <cellStyle name="Millares 5 3 2 2" xfId="720" xr:uid="{00000000-0005-0000-0000-0000680E0000}"/>
    <cellStyle name="Millares 5 3 2 2 2" xfId="1120" xr:uid="{00000000-0005-0000-0000-0000690E0000}"/>
    <cellStyle name="Millares 5 3 2 2 2 2" xfId="2703" xr:uid="{00000000-0005-0000-0000-00006A0E0000}"/>
    <cellStyle name="Millares 5 3 2 2 2 2 2" xfId="4285" xr:uid="{00000000-0005-0000-0000-00006B0E0000}"/>
    <cellStyle name="Millares 5 3 2 2 2 3" xfId="1912" xr:uid="{00000000-0005-0000-0000-00006C0E0000}"/>
    <cellStyle name="Millares 5 3 2 2 2 4" xfId="3494" xr:uid="{00000000-0005-0000-0000-00006D0E0000}"/>
    <cellStyle name="Millares 5 3 2 2 3" xfId="2309" xr:uid="{00000000-0005-0000-0000-00006E0E0000}"/>
    <cellStyle name="Millares 5 3 2 2 3 2" xfId="3891" xr:uid="{00000000-0005-0000-0000-00006F0E0000}"/>
    <cellStyle name="Millares 5 3 2 2 4" xfId="1518" xr:uid="{00000000-0005-0000-0000-0000700E0000}"/>
    <cellStyle name="Millares 5 3 2 2 5" xfId="3100" xr:uid="{00000000-0005-0000-0000-0000710E0000}"/>
    <cellStyle name="Millares 5 3 2 3" xfId="899" xr:uid="{00000000-0005-0000-0000-0000720E0000}"/>
    <cellStyle name="Millares 5 3 2 3 2" xfId="2482" xr:uid="{00000000-0005-0000-0000-0000730E0000}"/>
    <cellStyle name="Millares 5 3 2 3 2 2" xfId="4064" xr:uid="{00000000-0005-0000-0000-0000740E0000}"/>
    <cellStyle name="Millares 5 3 2 3 3" xfId="1691" xr:uid="{00000000-0005-0000-0000-0000750E0000}"/>
    <cellStyle name="Millares 5 3 2 3 4" xfId="3273" xr:uid="{00000000-0005-0000-0000-0000760E0000}"/>
    <cellStyle name="Millares 5 3 2 4" xfId="2088" xr:uid="{00000000-0005-0000-0000-0000770E0000}"/>
    <cellStyle name="Millares 5 3 2 4 2" xfId="3670" xr:uid="{00000000-0005-0000-0000-0000780E0000}"/>
    <cellStyle name="Millares 5 3 2 5" xfId="1297" xr:uid="{00000000-0005-0000-0000-0000790E0000}"/>
    <cellStyle name="Millares 5 3 2 6" xfId="2879" xr:uid="{00000000-0005-0000-0000-00007A0E0000}"/>
    <cellStyle name="Millares 5 3 3" xfId="569" xr:uid="{00000000-0005-0000-0000-00007B0E0000}"/>
    <cellStyle name="Millares 5 3 3 2" xfId="976" xr:uid="{00000000-0005-0000-0000-00007C0E0000}"/>
    <cellStyle name="Millares 5 3 3 2 2" xfId="2559" xr:uid="{00000000-0005-0000-0000-00007D0E0000}"/>
    <cellStyle name="Millares 5 3 3 2 2 2" xfId="4141" xr:uid="{00000000-0005-0000-0000-00007E0E0000}"/>
    <cellStyle name="Millares 5 3 3 2 3" xfId="1768" xr:uid="{00000000-0005-0000-0000-00007F0E0000}"/>
    <cellStyle name="Millares 5 3 3 2 4" xfId="3350" xr:uid="{00000000-0005-0000-0000-0000800E0000}"/>
    <cellStyle name="Millares 5 3 3 3" xfId="2165" xr:uid="{00000000-0005-0000-0000-0000810E0000}"/>
    <cellStyle name="Millares 5 3 3 3 2" xfId="3747" xr:uid="{00000000-0005-0000-0000-0000820E0000}"/>
    <cellStyle name="Millares 5 3 3 4" xfId="1374" xr:uid="{00000000-0005-0000-0000-0000830E0000}"/>
    <cellStyle name="Millares 5 3 3 5" xfId="2956" xr:uid="{00000000-0005-0000-0000-0000840E0000}"/>
    <cellStyle name="Millares 5 3 4" xfId="644" xr:uid="{00000000-0005-0000-0000-0000850E0000}"/>
    <cellStyle name="Millares 5 3 4 2" xfId="1044" xr:uid="{00000000-0005-0000-0000-0000860E0000}"/>
    <cellStyle name="Millares 5 3 4 2 2" xfId="2627" xr:uid="{00000000-0005-0000-0000-0000870E0000}"/>
    <cellStyle name="Millares 5 3 4 2 2 2" xfId="4209" xr:uid="{00000000-0005-0000-0000-0000880E0000}"/>
    <cellStyle name="Millares 5 3 4 2 3" xfId="1836" xr:uid="{00000000-0005-0000-0000-0000890E0000}"/>
    <cellStyle name="Millares 5 3 4 2 4" xfId="3418" xr:uid="{00000000-0005-0000-0000-00008A0E0000}"/>
    <cellStyle name="Millares 5 3 4 3" xfId="2233" xr:uid="{00000000-0005-0000-0000-00008B0E0000}"/>
    <cellStyle name="Millares 5 3 4 3 2" xfId="3815" xr:uid="{00000000-0005-0000-0000-00008C0E0000}"/>
    <cellStyle name="Millares 5 3 4 4" xfId="1442" xr:uid="{00000000-0005-0000-0000-00008D0E0000}"/>
    <cellStyle name="Millares 5 3 4 5" xfId="3024" xr:uid="{00000000-0005-0000-0000-00008E0E0000}"/>
    <cellStyle name="Millares 5 3 5" xfId="823" xr:uid="{00000000-0005-0000-0000-00008F0E0000}"/>
    <cellStyle name="Millares 5 3 5 2" xfId="2406" xr:uid="{00000000-0005-0000-0000-0000900E0000}"/>
    <cellStyle name="Millares 5 3 5 2 2" xfId="3988" xr:uid="{00000000-0005-0000-0000-0000910E0000}"/>
    <cellStyle name="Millares 5 3 5 3" xfId="1615" xr:uid="{00000000-0005-0000-0000-0000920E0000}"/>
    <cellStyle name="Millares 5 3 5 4" xfId="3197" xr:uid="{00000000-0005-0000-0000-0000930E0000}"/>
    <cellStyle name="Millares 5 3 6" xfId="2012" xr:uid="{00000000-0005-0000-0000-0000940E0000}"/>
    <cellStyle name="Millares 5 3 6 2" xfId="3594" xr:uid="{00000000-0005-0000-0000-0000950E0000}"/>
    <cellStyle name="Millares 5 3 7" xfId="1221" xr:uid="{00000000-0005-0000-0000-0000960E0000}"/>
    <cellStyle name="Millares 5 3 8" xfId="2803" xr:uid="{00000000-0005-0000-0000-0000970E0000}"/>
    <cellStyle name="Millares 5 4" xfId="451" xr:uid="{00000000-0005-0000-0000-0000980E0000}"/>
    <cellStyle name="Millares 5 4 2" xfId="679" xr:uid="{00000000-0005-0000-0000-0000990E0000}"/>
    <cellStyle name="Millares 5 4 2 2" xfId="1079" xr:uid="{00000000-0005-0000-0000-00009A0E0000}"/>
    <cellStyle name="Millares 5 4 2 2 2" xfId="2662" xr:uid="{00000000-0005-0000-0000-00009B0E0000}"/>
    <cellStyle name="Millares 5 4 2 2 2 2" xfId="4244" xr:uid="{00000000-0005-0000-0000-00009C0E0000}"/>
    <cellStyle name="Millares 5 4 2 2 3" xfId="1871" xr:uid="{00000000-0005-0000-0000-00009D0E0000}"/>
    <cellStyle name="Millares 5 4 2 2 4" xfId="3453" xr:uid="{00000000-0005-0000-0000-00009E0E0000}"/>
    <cellStyle name="Millares 5 4 2 3" xfId="2268" xr:uid="{00000000-0005-0000-0000-00009F0E0000}"/>
    <cellStyle name="Millares 5 4 2 3 2" xfId="3850" xr:uid="{00000000-0005-0000-0000-0000A00E0000}"/>
    <cellStyle name="Millares 5 4 2 4" xfId="1477" xr:uid="{00000000-0005-0000-0000-0000A10E0000}"/>
    <cellStyle name="Millares 5 4 2 5" xfId="3059" xr:uid="{00000000-0005-0000-0000-0000A20E0000}"/>
    <cellStyle name="Millares 5 4 3" xfId="858" xr:uid="{00000000-0005-0000-0000-0000A30E0000}"/>
    <cellStyle name="Millares 5 4 3 2" xfId="2441" xr:uid="{00000000-0005-0000-0000-0000A40E0000}"/>
    <cellStyle name="Millares 5 4 3 2 2" xfId="4023" xr:uid="{00000000-0005-0000-0000-0000A50E0000}"/>
    <cellStyle name="Millares 5 4 3 3" xfId="1650" xr:uid="{00000000-0005-0000-0000-0000A60E0000}"/>
    <cellStyle name="Millares 5 4 3 4" xfId="3232" xr:uid="{00000000-0005-0000-0000-0000A70E0000}"/>
    <cellStyle name="Millares 5 4 4" xfId="2047" xr:uid="{00000000-0005-0000-0000-0000A80E0000}"/>
    <cellStyle name="Millares 5 4 4 2" xfId="3629" xr:uid="{00000000-0005-0000-0000-0000A90E0000}"/>
    <cellStyle name="Millares 5 4 5" xfId="1256" xr:uid="{00000000-0005-0000-0000-0000AA0E0000}"/>
    <cellStyle name="Millares 5 4 6" xfId="2838" xr:uid="{00000000-0005-0000-0000-0000AB0E0000}"/>
    <cellStyle name="Millares 5 5" xfId="528" xr:uid="{00000000-0005-0000-0000-0000AC0E0000}"/>
    <cellStyle name="Millares 5 5 2" xfId="935" xr:uid="{00000000-0005-0000-0000-0000AD0E0000}"/>
    <cellStyle name="Millares 5 5 2 2" xfId="2518" xr:uid="{00000000-0005-0000-0000-0000AE0E0000}"/>
    <cellStyle name="Millares 5 5 2 2 2" xfId="4100" xr:uid="{00000000-0005-0000-0000-0000AF0E0000}"/>
    <cellStyle name="Millares 5 5 2 3" xfId="1727" xr:uid="{00000000-0005-0000-0000-0000B00E0000}"/>
    <cellStyle name="Millares 5 5 2 4" xfId="3309" xr:uid="{00000000-0005-0000-0000-0000B10E0000}"/>
    <cellStyle name="Millares 5 5 3" xfId="2124" xr:uid="{00000000-0005-0000-0000-0000B20E0000}"/>
    <cellStyle name="Millares 5 5 3 2" xfId="3706" xr:uid="{00000000-0005-0000-0000-0000B30E0000}"/>
    <cellStyle name="Millares 5 5 4" xfId="1333" xr:uid="{00000000-0005-0000-0000-0000B40E0000}"/>
    <cellStyle name="Millares 5 5 5" xfId="2915" xr:uid="{00000000-0005-0000-0000-0000B50E0000}"/>
    <cellStyle name="Millares 5 6" xfId="603" xr:uid="{00000000-0005-0000-0000-0000B60E0000}"/>
    <cellStyle name="Millares 5 6 2" xfId="1003" xr:uid="{00000000-0005-0000-0000-0000B70E0000}"/>
    <cellStyle name="Millares 5 6 2 2" xfId="2586" xr:uid="{00000000-0005-0000-0000-0000B80E0000}"/>
    <cellStyle name="Millares 5 6 2 2 2" xfId="4168" xr:uid="{00000000-0005-0000-0000-0000B90E0000}"/>
    <cellStyle name="Millares 5 6 2 3" xfId="1795" xr:uid="{00000000-0005-0000-0000-0000BA0E0000}"/>
    <cellStyle name="Millares 5 6 2 4" xfId="3377" xr:uid="{00000000-0005-0000-0000-0000BB0E0000}"/>
    <cellStyle name="Millares 5 6 3" xfId="2192" xr:uid="{00000000-0005-0000-0000-0000BC0E0000}"/>
    <cellStyle name="Millares 5 6 3 2" xfId="3774" xr:uid="{00000000-0005-0000-0000-0000BD0E0000}"/>
    <cellStyle name="Millares 5 6 4" xfId="1401" xr:uid="{00000000-0005-0000-0000-0000BE0E0000}"/>
    <cellStyle name="Millares 5 6 5" xfId="2983" xr:uid="{00000000-0005-0000-0000-0000BF0E0000}"/>
    <cellStyle name="Millares 5 7" xfId="755" xr:uid="{00000000-0005-0000-0000-0000C00E0000}"/>
    <cellStyle name="Millares 5 7 2" xfId="1155" xr:uid="{00000000-0005-0000-0000-0000C10E0000}"/>
    <cellStyle name="Millares 5 7 2 2" xfId="2738" xr:uid="{00000000-0005-0000-0000-0000C20E0000}"/>
    <cellStyle name="Millares 5 7 2 2 2" xfId="4320" xr:uid="{00000000-0005-0000-0000-0000C30E0000}"/>
    <cellStyle name="Millares 5 7 2 3" xfId="1947" xr:uid="{00000000-0005-0000-0000-0000C40E0000}"/>
    <cellStyle name="Millares 5 7 2 4" xfId="3529" xr:uid="{00000000-0005-0000-0000-0000C50E0000}"/>
    <cellStyle name="Millares 5 7 3" xfId="2344" xr:uid="{00000000-0005-0000-0000-0000C60E0000}"/>
    <cellStyle name="Millares 5 7 3 2" xfId="3926" xr:uid="{00000000-0005-0000-0000-0000C70E0000}"/>
    <cellStyle name="Millares 5 7 4" xfId="1553" xr:uid="{00000000-0005-0000-0000-0000C80E0000}"/>
    <cellStyle name="Millares 5 7 5" xfId="3135" xr:uid="{00000000-0005-0000-0000-0000C90E0000}"/>
    <cellStyle name="Millares 5 8" xfId="782" xr:uid="{00000000-0005-0000-0000-0000CA0E0000}"/>
    <cellStyle name="Millares 5 8 2" xfId="2365" xr:uid="{00000000-0005-0000-0000-0000CB0E0000}"/>
    <cellStyle name="Millares 5 8 2 2" xfId="3947" xr:uid="{00000000-0005-0000-0000-0000CC0E0000}"/>
    <cellStyle name="Millares 5 8 3" xfId="1574" xr:uid="{00000000-0005-0000-0000-0000CD0E0000}"/>
    <cellStyle name="Millares 5 8 4" xfId="3156" xr:uid="{00000000-0005-0000-0000-0000CE0E0000}"/>
    <cellStyle name="Millares 5 9" xfId="1971" xr:uid="{00000000-0005-0000-0000-0000CF0E0000}"/>
    <cellStyle name="Millares 5 9 2" xfId="3553" xr:uid="{00000000-0005-0000-0000-0000D00E0000}"/>
    <cellStyle name="Millares 50" xfId="749" xr:uid="{00000000-0005-0000-0000-0000D10E0000}"/>
    <cellStyle name="Millares 50 2" xfId="1149" xr:uid="{00000000-0005-0000-0000-0000D20E0000}"/>
    <cellStyle name="Millares 50 2 2" xfId="2732" xr:uid="{00000000-0005-0000-0000-0000D30E0000}"/>
    <cellStyle name="Millares 50 2 2 2" xfId="4314" xr:uid="{00000000-0005-0000-0000-0000D40E0000}"/>
    <cellStyle name="Millares 50 2 3" xfId="1941" xr:uid="{00000000-0005-0000-0000-0000D50E0000}"/>
    <cellStyle name="Millares 50 2 4" xfId="3523" xr:uid="{00000000-0005-0000-0000-0000D60E0000}"/>
    <cellStyle name="Millares 50 3" xfId="2338" xr:uid="{00000000-0005-0000-0000-0000D70E0000}"/>
    <cellStyle name="Millares 50 3 2" xfId="3920" xr:uid="{00000000-0005-0000-0000-0000D80E0000}"/>
    <cellStyle name="Millares 50 4" xfId="1547" xr:uid="{00000000-0005-0000-0000-0000D90E0000}"/>
    <cellStyle name="Millares 50 5" xfId="3129" xr:uid="{00000000-0005-0000-0000-0000DA0E0000}"/>
    <cellStyle name="Millares 51" xfId="770" xr:uid="{00000000-0005-0000-0000-0000DB0E0000}"/>
    <cellStyle name="Millares 51 2" xfId="2359" xr:uid="{00000000-0005-0000-0000-0000DC0E0000}"/>
    <cellStyle name="Millares 51 2 2" xfId="3941" xr:uid="{00000000-0005-0000-0000-0000DD0E0000}"/>
    <cellStyle name="Millares 51 3" xfId="1568" xr:uid="{00000000-0005-0000-0000-0000DE0E0000}"/>
    <cellStyle name="Millares 51 4" xfId="3150" xr:uid="{00000000-0005-0000-0000-0000DF0E0000}"/>
    <cellStyle name="Millares 52" xfId="1170" xr:uid="{00000000-0005-0000-0000-0000E00E0000}"/>
    <cellStyle name="Millares 52 2" xfId="2753" xr:uid="{00000000-0005-0000-0000-0000E10E0000}"/>
    <cellStyle name="Millares 52 2 2" xfId="4335" xr:uid="{00000000-0005-0000-0000-0000E20E0000}"/>
    <cellStyle name="Millares 52 3" xfId="1962" xr:uid="{00000000-0005-0000-0000-0000E30E0000}"/>
    <cellStyle name="Millares 52 4" xfId="3544" xr:uid="{00000000-0005-0000-0000-0000E40E0000}"/>
    <cellStyle name="Millares 53" xfId="1172" xr:uid="{00000000-0005-0000-0000-0000E50E0000}"/>
    <cellStyle name="Millares 53 2" xfId="2754" xr:uid="{00000000-0005-0000-0000-0000E60E0000}"/>
    <cellStyle name="Millares 53 2 2" xfId="4336" xr:uid="{00000000-0005-0000-0000-0000E70E0000}"/>
    <cellStyle name="Millares 53 3" xfId="1963" xr:uid="{00000000-0005-0000-0000-0000E80E0000}"/>
    <cellStyle name="Millares 53 4" xfId="3545" xr:uid="{00000000-0005-0000-0000-0000E90E0000}"/>
    <cellStyle name="Millares 54" xfId="1964" xr:uid="{00000000-0005-0000-0000-0000EA0E0000}"/>
    <cellStyle name="Millares 54 2" xfId="3546" xr:uid="{00000000-0005-0000-0000-0000EB0E0000}"/>
    <cellStyle name="Millares 55" xfId="1966" xr:uid="{00000000-0005-0000-0000-0000EC0E0000}"/>
    <cellStyle name="Millares 55 2" xfId="3548" xr:uid="{00000000-0005-0000-0000-0000ED0E0000}"/>
    <cellStyle name="Millares 56" xfId="1174" xr:uid="{00000000-0005-0000-0000-0000EE0E0000}"/>
    <cellStyle name="Millares 57" xfId="2755" xr:uid="{00000000-0005-0000-0000-0000EF0E0000}"/>
    <cellStyle name="Millares 58" xfId="2757" xr:uid="{00000000-0005-0000-0000-0000F00E0000}"/>
    <cellStyle name="Millares 59" xfId="4338" xr:uid="{00000000-0005-0000-0000-0000F10E0000}"/>
    <cellStyle name="Millares 6" xfId="302" xr:uid="{00000000-0005-0000-0000-0000F20E0000}"/>
    <cellStyle name="Millares 6 10" xfId="2765" xr:uid="{00000000-0005-0000-0000-0000F30E0000}"/>
    <cellStyle name="Millares 6 11" xfId="4598" xr:uid="{EE36D0AC-7E3A-4170-996D-A217C6786C16}"/>
    <cellStyle name="Millares 6 12" xfId="4627" xr:uid="{FCD04B3B-BF41-4CFD-8751-A0F1E30AB068}"/>
    <cellStyle name="Millares 6 12 2" xfId="5003" xr:uid="{72FE29C8-6D41-4E21-9197-A57C7DD652C4}"/>
    <cellStyle name="Millares 6 13" xfId="4892" xr:uid="{070D39B2-29F7-4C43-9EDD-A6B65AFB7175}"/>
    <cellStyle name="Millares 6 13 2" xfId="5177" xr:uid="{71E834A3-683D-46A2-A099-E706F86EBE3E}"/>
    <cellStyle name="Millares 6 14" xfId="4390" xr:uid="{53D2B91A-53F6-4429-82AD-7A2334CBCAB8}"/>
    <cellStyle name="Millares 6 15" xfId="4905" xr:uid="{4A29CFE4-4ED2-4AF6-A03C-159F568FC12E}"/>
    <cellStyle name="Millares 6 2" xfId="380" xr:uid="{00000000-0005-0000-0000-0000F40E0000}"/>
    <cellStyle name="Millares 6 2 2" xfId="495" xr:uid="{00000000-0005-0000-0000-0000F50E0000}"/>
    <cellStyle name="Millares 6 2 2 2" xfId="723" xr:uid="{00000000-0005-0000-0000-0000F60E0000}"/>
    <cellStyle name="Millares 6 2 2 2 2" xfId="1123" xr:uid="{00000000-0005-0000-0000-0000F70E0000}"/>
    <cellStyle name="Millares 6 2 2 2 2 2" xfId="2706" xr:uid="{00000000-0005-0000-0000-0000F80E0000}"/>
    <cellStyle name="Millares 6 2 2 2 2 2 2" xfId="4288" xr:uid="{00000000-0005-0000-0000-0000F90E0000}"/>
    <cellStyle name="Millares 6 2 2 2 2 3" xfId="1915" xr:uid="{00000000-0005-0000-0000-0000FA0E0000}"/>
    <cellStyle name="Millares 6 2 2 2 2 4" xfId="3497" xr:uid="{00000000-0005-0000-0000-0000FB0E0000}"/>
    <cellStyle name="Millares 6 2 2 2 3" xfId="2312" xr:uid="{00000000-0005-0000-0000-0000FC0E0000}"/>
    <cellStyle name="Millares 6 2 2 2 3 2" xfId="3894" xr:uid="{00000000-0005-0000-0000-0000FD0E0000}"/>
    <cellStyle name="Millares 6 2 2 2 4" xfId="1521" xr:uid="{00000000-0005-0000-0000-0000FE0E0000}"/>
    <cellStyle name="Millares 6 2 2 2 5" xfId="3103" xr:uid="{00000000-0005-0000-0000-0000FF0E0000}"/>
    <cellStyle name="Millares 6 2 2 3" xfId="902" xr:uid="{00000000-0005-0000-0000-0000000F0000}"/>
    <cellStyle name="Millares 6 2 2 3 2" xfId="2485" xr:uid="{00000000-0005-0000-0000-0000010F0000}"/>
    <cellStyle name="Millares 6 2 2 3 2 2" xfId="4067" xr:uid="{00000000-0005-0000-0000-0000020F0000}"/>
    <cellStyle name="Millares 6 2 2 3 3" xfId="1694" xr:uid="{00000000-0005-0000-0000-0000030F0000}"/>
    <cellStyle name="Millares 6 2 2 3 4" xfId="3276" xr:uid="{00000000-0005-0000-0000-0000040F0000}"/>
    <cellStyle name="Millares 6 2 2 4" xfId="2091" xr:uid="{00000000-0005-0000-0000-0000050F0000}"/>
    <cellStyle name="Millares 6 2 2 4 2" xfId="3673" xr:uid="{00000000-0005-0000-0000-0000060F0000}"/>
    <cellStyle name="Millares 6 2 2 5" xfId="1300" xr:uid="{00000000-0005-0000-0000-0000070F0000}"/>
    <cellStyle name="Millares 6 2 2 6" xfId="2882" xr:uid="{00000000-0005-0000-0000-0000080F0000}"/>
    <cellStyle name="Millares 6 2 3" xfId="572" xr:uid="{00000000-0005-0000-0000-0000090F0000}"/>
    <cellStyle name="Millares 6 2 3 2" xfId="979" xr:uid="{00000000-0005-0000-0000-00000A0F0000}"/>
    <cellStyle name="Millares 6 2 3 2 2" xfId="2562" xr:uid="{00000000-0005-0000-0000-00000B0F0000}"/>
    <cellStyle name="Millares 6 2 3 2 2 2" xfId="4144" xr:uid="{00000000-0005-0000-0000-00000C0F0000}"/>
    <cellStyle name="Millares 6 2 3 2 3" xfId="1771" xr:uid="{00000000-0005-0000-0000-00000D0F0000}"/>
    <cellStyle name="Millares 6 2 3 2 4" xfId="3353" xr:uid="{00000000-0005-0000-0000-00000E0F0000}"/>
    <cellStyle name="Millares 6 2 3 3" xfId="2168" xr:uid="{00000000-0005-0000-0000-00000F0F0000}"/>
    <cellStyle name="Millares 6 2 3 3 2" xfId="3750" xr:uid="{00000000-0005-0000-0000-0000100F0000}"/>
    <cellStyle name="Millares 6 2 3 4" xfId="1377" xr:uid="{00000000-0005-0000-0000-0000110F0000}"/>
    <cellStyle name="Millares 6 2 3 5" xfId="2959" xr:uid="{00000000-0005-0000-0000-0000120F0000}"/>
    <cellStyle name="Millares 6 2 4" xfId="647" xr:uid="{00000000-0005-0000-0000-0000130F0000}"/>
    <cellStyle name="Millares 6 2 4 2" xfId="1047" xr:uid="{00000000-0005-0000-0000-0000140F0000}"/>
    <cellStyle name="Millares 6 2 4 2 2" xfId="2630" xr:uid="{00000000-0005-0000-0000-0000150F0000}"/>
    <cellStyle name="Millares 6 2 4 2 2 2" xfId="4212" xr:uid="{00000000-0005-0000-0000-0000160F0000}"/>
    <cellStyle name="Millares 6 2 4 2 3" xfId="1839" xr:uid="{00000000-0005-0000-0000-0000170F0000}"/>
    <cellStyle name="Millares 6 2 4 2 4" xfId="3421" xr:uid="{00000000-0005-0000-0000-0000180F0000}"/>
    <cellStyle name="Millares 6 2 4 3" xfId="2236" xr:uid="{00000000-0005-0000-0000-0000190F0000}"/>
    <cellStyle name="Millares 6 2 4 3 2" xfId="3818" xr:uid="{00000000-0005-0000-0000-00001A0F0000}"/>
    <cellStyle name="Millares 6 2 4 4" xfId="1445" xr:uid="{00000000-0005-0000-0000-00001B0F0000}"/>
    <cellStyle name="Millares 6 2 4 5" xfId="3027" xr:uid="{00000000-0005-0000-0000-00001C0F0000}"/>
    <cellStyle name="Millares 6 2 5" xfId="826" xr:uid="{00000000-0005-0000-0000-00001D0F0000}"/>
    <cellStyle name="Millares 6 2 5 2" xfId="2409" xr:uid="{00000000-0005-0000-0000-00001E0F0000}"/>
    <cellStyle name="Millares 6 2 5 2 2" xfId="3991" xr:uid="{00000000-0005-0000-0000-00001F0F0000}"/>
    <cellStyle name="Millares 6 2 5 3" xfId="1618" xr:uid="{00000000-0005-0000-0000-0000200F0000}"/>
    <cellStyle name="Millares 6 2 5 4" xfId="3200" xr:uid="{00000000-0005-0000-0000-0000210F0000}"/>
    <cellStyle name="Millares 6 2 6" xfId="2015" xr:uid="{00000000-0005-0000-0000-0000220F0000}"/>
    <cellStyle name="Millares 6 2 6 2" xfId="3597" xr:uid="{00000000-0005-0000-0000-0000230F0000}"/>
    <cellStyle name="Millares 6 2 7" xfId="1224" xr:uid="{00000000-0005-0000-0000-0000240F0000}"/>
    <cellStyle name="Millares 6 2 8" xfId="2806" xr:uid="{00000000-0005-0000-0000-0000250F0000}"/>
    <cellStyle name="Millares 6 3" xfId="454" xr:uid="{00000000-0005-0000-0000-0000260F0000}"/>
    <cellStyle name="Millares 6 3 2" xfId="682" xr:uid="{00000000-0005-0000-0000-0000270F0000}"/>
    <cellStyle name="Millares 6 3 2 2" xfId="1082" xr:uid="{00000000-0005-0000-0000-0000280F0000}"/>
    <cellStyle name="Millares 6 3 2 2 2" xfId="2665" xr:uid="{00000000-0005-0000-0000-0000290F0000}"/>
    <cellStyle name="Millares 6 3 2 2 2 2" xfId="4247" xr:uid="{00000000-0005-0000-0000-00002A0F0000}"/>
    <cellStyle name="Millares 6 3 2 2 3" xfId="1874" xr:uid="{00000000-0005-0000-0000-00002B0F0000}"/>
    <cellStyle name="Millares 6 3 2 2 4" xfId="3456" xr:uid="{00000000-0005-0000-0000-00002C0F0000}"/>
    <cellStyle name="Millares 6 3 2 3" xfId="2271" xr:uid="{00000000-0005-0000-0000-00002D0F0000}"/>
    <cellStyle name="Millares 6 3 2 3 2" xfId="3853" xr:uid="{00000000-0005-0000-0000-00002E0F0000}"/>
    <cellStyle name="Millares 6 3 2 4" xfId="1480" xr:uid="{00000000-0005-0000-0000-00002F0F0000}"/>
    <cellStyle name="Millares 6 3 2 5" xfId="3062" xr:uid="{00000000-0005-0000-0000-0000300F0000}"/>
    <cellStyle name="Millares 6 3 3" xfId="861" xr:uid="{00000000-0005-0000-0000-0000310F0000}"/>
    <cellStyle name="Millares 6 3 3 2" xfId="2444" xr:uid="{00000000-0005-0000-0000-0000320F0000}"/>
    <cellStyle name="Millares 6 3 3 2 2" xfId="4026" xr:uid="{00000000-0005-0000-0000-0000330F0000}"/>
    <cellStyle name="Millares 6 3 3 3" xfId="1653" xr:uid="{00000000-0005-0000-0000-0000340F0000}"/>
    <cellStyle name="Millares 6 3 3 4" xfId="3235" xr:uid="{00000000-0005-0000-0000-0000350F0000}"/>
    <cellStyle name="Millares 6 3 4" xfId="2050" xr:uid="{00000000-0005-0000-0000-0000360F0000}"/>
    <cellStyle name="Millares 6 3 4 2" xfId="3632" xr:uid="{00000000-0005-0000-0000-0000370F0000}"/>
    <cellStyle name="Millares 6 3 5" xfId="1259" xr:uid="{00000000-0005-0000-0000-0000380F0000}"/>
    <cellStyle name="Millares 6 3 6" xfId="2841" xr:uid="{00000000-0005-0000-0000-0000390F0000}"/>
    <cellStyle name="Millares 6 4" xfId="531" xr:uid="{00000000-0005-0000-0000-00003A0F0000}"/>
    <cellStyle name="Millares 6 4 2" xfId="938" xr:uid="{00000000-0005-0000-0000-00003B0F0000}"/>
    <cellStyle name="Millares 6 4 2 2" xfId="2521" xr:uid="{00000000-0005-0000-0000-00003C0F0000}"/>
    <cellStyle name="Millares 6 4 2 2 2" xfId="4103" xr:uid="{00000000-0005-0000-0000-00003D0F0000}"/>
    <cellStyle name="Millares 6 4 2 3" xfId="1730" xr:uid="{00000000-0005-0000-0000-00003E0F0000}"/>
    <cellStyle name="Millares 6 4 2 4" xfId="3312" xr:uid="{00000000-0005-0000-0000-00003F0F0000}"/>
    <cellStyle name="Millares 6 4 3" xfId="2127" xr:uid="{00000000-0005-0000-0000-0000400F0000}"/>
    <cellStyle name="Millares 6 4 3 2" xfId="3709" xr:uid="{00000000-0005-0000-0000-0000410F0000}"/>
    <cellStyle name="Millares 6 4 4" xfId="1336" xr:uid="{00000000-0005-0000-0000-0000420F0000}"/>
    <cellStyle name="Millares 6 4 5" xfId="2918" xr:uid="{00000000-0005-0000-0000-0000430F0000}"/>
    <cellStyle name="Millares 6 5" xfId="606" xr:uid="{00000000-0005-0000-0000-0000440F0000}"/>
    <cellStyle name="Millares 6 5 2" xfId="1006" xr:uid="{00000000-0005-0000-0000-0000450F0000}"/>
    <cellStyle name="Millares 6 5 2 2" xfId="2589" xr:uid="{00000000-0005-0000-0000-0000460F0000}"/>
    <cellStyle name="Millares 6 5 2 2 2" xfId="4171" xr:uid="{00000000-0005-0000-0000-0000470F0000}"/>
    <cellStyle name="Millares 6 5 2 3" xfId="1798" xr:uid="{00000000-0005-0000-0000-0000480F0000}"/>
    <cellStyle name="Millares 6 5 2 4" xfId="3380" xr:uid="{00000000-0005-0000-0000-0000490F0000}"/>
    <cellStyle name="Millares 6 5 3" xfId="2195" xr:uid="{00000000-0005-0000-0000-00004A0F0000}"/>
    <cellStyle name="Millares 6 5 3 2" xfId="3777" xr:uid="{00000000-0005-0000-0000-00004B0F0000}"/>
    <cellStyle name="Millares 6 5 4" xfId="1404" xr:uid="{00000000-0005-0000-0000-00004C0F0000}"/>
    <cellStyle name="Millares 6 5 5" xfId="2986" xr:uid="{00000000-0005-0000-0000-00004D0F0000}"/>
    <cellStyle name="Millares 6 6" xfId="758" xr:uid="{00000000-0005-0000-0000-00004E0F0000}"/>
    <cellStyle name="Millares 6 6 2" xfId="1158" xr:uid="{00000000-0005-0000-0000-00004F0F0000}"/>
    <cellStyle name="Millares 6 6 2 2" xfId="2741" xr:uid="{00000000-0005-0000-0000-0000500F0000}"/>
    <cellStyle name="Millares 6 6 2 2 2" xfId="4323" xr:uid="{00000000-0005-0000-0000-0000510F0000}"/>
    <cellStyle name="Millares 6 6 2 3" xfId="1950" xr:uid="{00000000-0005-0000-0000-0000520F0000}"/>
    <cellStyle name="Millares 6 6 2 4" xfId="3532" xr:uid="{00000000-0005-0000-0000-0000530F0000}"/>
    <cellStyle name="Millares 6 6 3" xfId="2347" xr:uid="{00000000-0005-0000-0000-0000540F0000}"/>
    <cellStyle name="Millares 6 6 3 2" xfId="3929" xr:uid="{00000000-0005-0000-0000-0000550F0000}"/>
    <cellStyle name="Millares 6 6 4" xfId="1556" xr:uid="{00000000-0005-0000-0000-0000560F0000}"/>
    <cellStyle name="Millares 6 6 5" xfId="3138" xr:uid="{00000000-0005-0000-0000-0000570F0000}"/>
    <cellStyle name="Millares 6 7" xfId="785" xr:uid="{00000000-0005-0000-0000-0000580F0000}"/>
    <cellStyle name="Millares 6 7 2" xfId="2368" xr:uid="{00000000-0005-0000-0000-0000590F0000}"/>
    <cellStyle name="Millares 6 7 2 2" xfId="3950" xr:uid="{00000000-0005-0000-0000-00005A0F0000}"/>
    <cellStyle name="Millares 6 7 3" xfId="1577" xr:uid="{00000000-0005-0000-0000-00005B0F0000}"/>
    <cellStyle name="Millares 6 7 4" xfId="3159" xr:uid="{00000000-0005-0000-0000-00005C0F0000}"/>
    <cellStyle name="Millares 6 8" xfId="1974" xr:uid="{00000000-0005-0000-0000-00005D0F0000}"/>
    <cellStyle name="Millares 6 8 2" xfId="3556" xr:uid="{00000000-0005-0000-0000-00005E0F0000}"/>
    <cellStyle name="Millares 6 9" xfId="1183" xr:uid="{00000000-0005-0000-0000-00005F0F0000}"/>
    <cellStyle name="Millares 60" xfId="4339" xr:uid="{00000000-0005-0000-0000-0000600F0000}"/>
    <cellStyle name="Millares 60 2" xfId="4614" xr:uid="{4C2BC9EB-50BF-47BC-9121-8A0C6B017914}"/>
    <cellStyle name="Millares 60 3" xfId="4991" xr:uid="{980DC5F1-33FD-42EF-98CF-F8B520CE1BF1}"/>
    <cellStyle name="Millares 61" xfId="4341" xr:uid="{00000000-0005-0000-0000-0000610F0000}"/>
    <cellStyle name="Millares 61 2" xfId="4795" xr:uid="{94EFAE21-1AF2-4705-95CF-352967B05127}"/>
    <cellStyle name="Millares 61 3" xfId="5095" xr:uid="{2E4E83ED-8A61-4C79-A57F-BAA1562555FF}"/>
    <cellStyle name="Millares 62" xfId="4353" xr:uid="{00000000-0005-0000-0000-0000620F0000}"/>
    <cellStyle name="Millares 62 2" xfId="4893" xr:uid="{ED7A4210-DCDA-4F1A-9281-4771CB6FB37C}"/>
    <cellStyle name="Millares 62 3" xfId="5178" xr:uid="{A810B259-4769-44FB-87F6-398802A2B58D}"/>
    <cellStyle name="Millares 63" xfId="4340" xr:uid="{00000000-0005-0000-0000-0000630F0000}"/>
    <cellStyle name="Millares 64" xfId="4344" xr:uid="{00000000-0005-0000-0000-0000640F0000}"/>
    <cellStyle name="Millares 65" xfId="4351" xr:uid="{00000000-0005-0000-0000-0000650F0000}"/>
    <cellStyle name="Millares 66" xfId="4346" xr:uid="{00000000-0005-0000-0000-0000660F0000}"/>
    <cellStyle name="Millares 67" xfId="4342" xr:uid="{00000000-0005-0000-0000-0000670F0000}"/>
    <cellStyle name="Millares 68" xfId="4352" xr:uid="{00000000-0005-0000-0000-0000680F0000}"/>
    <cellStyle name="Millares 69" xfId="4343" xr:uid="{00000000-0005-0000-0000-0000690F0000}"/>
    <cellStyle name="Millares 7" xfId="310" xr:uid="{00000000-0005-0000-0000-00006A0F0000}"/>
    <cellStyle name="Millares 7 10" xfId="2770" xr:uid="{00000000-0005-0000-0000-00006B0F0000}"/>
    <cellStyle name="Millares 7 11" xfId="4641" xr:uid="{1498F20F-2228-4980-BF5E-33115E9B4ABF}"/>
    <cellStyle name="Millares 7 11 2" xfId="5014" xr:uid="{BF9C17B3-0F78-4A70-9AD1-50D6BDC97111}"/>
    <cellStyle name="Millares 7 12" xfId="4407" xr:uid="{8D7870BA-E834-4038-80D9-CDFB0384912B}"/>
    <cellStyle name="Millares 7 2" xfId="388" xr:uid="{00000000-0005-0000-0000-00006C0F0000}"/>
    <cellStyle name="Millares 7 2 2" xfId="500" xr:uid="{00000000-0005-0000-0000-00006D0F0000}"/>
    <cellStyle name="Millares 7 2 2 2" xfId="728" xr:uid="{00000000-0005-0000-0000-00006E0F0000}"/>
    <cellStyle name="Millares 7 2 2 2 2" xfId="1128" xr:uid="{00000000-0005-0000-0000-00006F0F0000}"/>
    <cellStyle name="Millares 7 2 2 2 2 2" xfId="2711" xr:uid="{00000000-0005-0000-0000-0000700F0000}"/>
    <cellStyle name="Millares 7 2 2 2 2 2 2" xfId="4293" xr:uid="{00000000-0005-0000-0000-0000710F0000}"/>
    <cellStyle name="Millares 7 2 2 2 2 3" xfId="1920" xr:uid="{00000000-0005-0000-0000-0000720F0000}"/>
    <cellStyle name="Millares 7 2 2 2 2 4" xfId="3502" xr:uid="{00000000-0005-0000-0000-0000730F0000}"/>
    <cellStyle name="Millares 7 2 2 2 3" xfId="2317" xr:uid="{00000000-0005-0000-0000-0000740F0000}"/>
    <cellStyle name="Millares 7 2 2 2 3 2" xfId="3899" xr:uid="{00000000-0005-0000-0000-0000750F0000}"/>
    <cellStyle name="Millares 7 2 2 2 4" xfId="1526" xr:uid="{00000000-0005-0000-0000-0000760F0000}"/>
    <cellStyle name="Millares 7 2 2 2 5" xfId="3108" xr:uid="{00000000-0005-0000-0000-0000770F0000}"/>
    <cellStyle name="Millares 7 2 2 3" xfId="907" xr:uid="{00000000-0005-0000-0000-0000780F0000}"/>
    <cellStyle name="Millares 7 2 2 3 2" xfId="2490" xr:uid="{00000000-0005-0000-0000-0000790F0000}"/>
    <cellStyle name="Millares 7 2 2 3 2 2" xfId="4072" xr:uid="{00000000-0005-0000-0000-00007A0F0000}"/>
    <cellStyle name="Millares 7 2 2 3 3" xfId="1699" xr:uid="{00000000-0005-0000-0000-00007B0F0000}"/>
    <cellStyle name="Millares 7 2 2 3 4" xfId="3281" xr:uid="{00000000-0005-0000-0000-00007C0F0000}"/>
    <cellStyle name="Millares 7 2 2 4" xfId="2096" xr:uid="{00000000-0005-0000-0000-00007D0F0000}"/>
    <cellStyle name="Millares 7 2 2 4 2" xfId="3678" xr:uid="{00000000-0005-0000-0000-00007E0F0000}"/>
    <cellStyle name="Millares 7 2 2 5" xfId="1305" xr:uid="{00000000-0005-0000-0000-00007F0F0000}"/>
    <cellStyle name="Millares 7 2 2 6" xfId="2887" xr:uid="{00000000-0005-0000-0000-0000800F0000}"/>
    <cellStyle name="Millares 7 2 3" xfId="577" xr:uid="{00000000-0005-0000-0000-0000810F0000}"/>
    <cellStyle name="Millares 7 2 3 2" xfId="984" xr:uid="{00000000-0005-0000-0000-0000820F0000}"/>
    <cellStyle name="Millares 7 2 3 2 2" xfId="2567" xr:uid="{00000000-0005-0000-0000-0000830F0000}"/>
    <cellStyle name="Millares 7 2 3 2 2 2" xfId="4149" xr:uid="{00000000-0005-0000-0000-0000840F0000}"/>
    <cellStyle name="Millares 7 2 3 2 3" xfId="1776" xr:uid="{00000000-0005-0000-0000-0000850F0000}"/>
    <cellStyle name="Millares 7 2 3 2 4" xfId="3358" xr:uid="{00000000-0005-0000-0000-0000860F0000}"/>
    <cellStyle name="Millares 7 2 3 3" xfId="2173" xr:uid="{00000000-0005-0000-0000-0000870F0000}"/>
    <cellStyle name="Millares 7 2 3 3 2" xfId="3755" xr:uid="{00000000-0005-0000-0000-0000880F0000}"/>
    <cellStyle name="Millares 7 2 3 4" xfId="1382" xr:uid="{00000000-0005-0000-0000-0000890F0000}"/>
    <cellStyle name="Millares 7 2 3 5" xfId="2964" xr:uid="{00000000-0005-0000-0000-00008A0F0000}"/>
    <cellStyle name="Millares 7 2 4" xfId="652" xr:uid="{00000000-0005-0000-0000-00008B0F0000}"/>
    <cellStyle name="Millares 7 2 4 2" xfId="1052" xr:uid="{00000000-0005-0000-0000-00008C0F0000}"/>
    <cellStyle name="Millares 7 2 4 2 2" xfId="2635" xr:uid="{00000000-0005-0000-0000-00008D0F0000}"/>
    <cellStyle name="Millares 7 2 4 2 2 2" xfId="4217" xr:uid="{00000000-0005-0000-0000-00008E0F0000}"/>
    <cellStyle name="Millares 7 2 4 2 3" xfId="1844" xr:uid="{00000000-0005-0000-0000-00008F0F0000}"/>
    <cellStyle name="Millares 7 2 4 2 4" xfId="3426" xr:uid="{00000000-0005-0000-0000-0000900F0000}"/>
    <cellStyle name="Millares 7 2 4 3" xfId="2241" xr:uid="{00000000-0005-0000-0000-0000910F0000}"/>
    <cellStyle name="Millares 7 2 4 3 2" xfId="3823" xr:uid="{00000000-0005-0000-0000-0000920F0000}"/>
    <cellStyle name="Millares 7 2 4 4" xfId="1450" xr:uid="{00000000-0005-0000-0000-0000930F0000}"/>
    <cellStyle name="Millares 7 2 4 5" xfId="3032" xr:uid="{00000000-0005-0000-0000-0000940F0000}"/>
    <cellStyle name="Millares 7 2 5" xfId="831" xr:uid="{00000000-0005-0000-0000-0000950F0000}"/>
    <cellStyle name="Millares 7 2 5 2" xfId="2414" xr:uid="{00000000-0005-0000-0000-0000960F0000}"/>
    <cellStyle name="Millares 7 2 5 2 2" xfId="3996" xr:uid="{00000000-0005-0000-0000-0000970F0000}"/>
    <cellStyle name="Millares 7 2 5 3" xfId="1623" xr:uid="{00000000-0005-0000-0000-0000980F0000}"/>
    <cellStyle name="Millares 7 2 5 4" xfId="3205" xr:uid="{00000000-0005-0000-0000-0000990F0000}"/>
    <cellStyle name="Millares 7 2 6" xfId="2020" xr:uid="{00000000-0005-0000-0000-00009A0F0000}"/>
    <cellStyle name="Millares 7 2 6 2" xfId="3602" xr:uid="{00000000-0005-0000-0000-00009B0F0000}"/>
    <cellStyle name="Millares 7 2 7" xfId="1229" xr:uid="{00000000-0005-0000-0000-00009C0F0000}"/>
    <cellStyle name="Millares 7 2 8" xfId="2811" xr:uid="{00000000-0005-0000-0000-00009D0F0000}"/>
    <cellStyle name="Millares 7 3" xfId="459" xr:uid="{00000000-0005-0000-0000-00009E0F0000}"/>
    <cellStyle name="Millares 7 3 2" xfId="687" xr:uid="{00000000-0005-0000-0000-00009F0F0000}"/>
    <cellStyle name="Millares 7 3 2 2" xfId="1087" xr:uid="{00000000-0005-0000-0000-0000A00F0000}"/>
    <cellStyle name="Millares 7 3 2 2 2" xfId="2670" xr:uid="{00000000-0005-0000-0000-0000A10F0000}"/>
    <cellStyle name="Millares 7 3 2 2 2 2" xfId="4252" xr:uid="{00000000-0005-0000-0000-0000A20F0000}"/>
    <cellStyle name="Millares 7 3 2 2 3" xfId="1879" xr:uid="{00000000-0005-0000-0000-0000A30F0000}"/>
    <cellStyle name="Millares 7 3 2 2 4" xfId="3461" xr:uid="{00000000-0005-0000-0000-0000A40F0000}"/>
    <cellStyle name="Millares 7 3 2 3" xfId="2276" xr:uid="{00000000-0005-0000-0000-0000A50F0000}"/>
    <cellStyle name="Millares 7 3 2 3 2" xfId="3858" xr:uid="{00000000-0005-0000-0000-0000A60F0000}"/>
    <cellStyle name="Millares 7 3 2 4" xfId="1485" xr:uid="{00000000-0005-0000-0000-0000A70F0000}"/>
    <cellStyle name="Millares 7 3 2 5" xfId="3067" xr:uid="{00000000-0005-0000-0000-0000A80F0000}"/>
    <cellStyle name="Millares 7 3 3" xfId="866" xr:uid="{00000000-0005-0000-0000-0000A90F0000}"/>
    <cellStyle name="Millares 7 3 3 2" xfId="2449" xr:uid="{00000000-0005-0000-0000-0000AA0F0000}"/>
    <cellStyle name="Millares 7 3 3 2 2" xfId="4031" xr:uid="{00000000-0005-0000-0000-0000AB0F0000}"/>
    <cellStyle name="Millares 7 3 3 3" xfId="1658" xr:uid="{00000000-0005-0000-0000-0000AC0F0000}"/>
    <cellStyle name="Millares 7 3 3 4" xfId="3240" xr:uid="{00000000-0005-0000-0000-0000AD0F0000}"/>
    <cellStyle name="Millares 7 3 4" xfId="2055" xr:uid="{00000000-0005-0000-0000-0000AE0F0000}"/>
    <cellStyle name="Millares 7 3 4 2" xfId="3637" xr:uid="{00000000-0005-0000-0000-0000AF0F0000}"/>
    <cellStyle name="Millares 7 3 5" xfId="1264" xr:uid="{00000000-0005-0000-0000-0000B00F0000}"/>
    <cellStyle name="Millares 7 3 6" xfId="2846" xr:uid="{00000000-0005-0000-0000-0000B10F0000}"/>
    <cellStyle name="Millares 7 4" xfId="536" xr:uid="{00000000-0005-0000-0000-0000B20F0000}"/>
    <cellStyle name="Millares 7 4 2" xfId="943" xr:uid="{00000000-0005-0000-0000-0000B30F0000}"/>
    <cellStyle name="Millares 7 4 2 2" xfId="2526" xr:uid="{00000000-0005-0000-0000-0000B40F0000}"/>
    <cellStyle name="Millares 7 4 2 2 2" xfId="4108" xr:uid="{00000000-0005-0000-0000-0000B50F0000}"/>
    <cellStyle name="Millares 7 4 2 3" xfId="1735" xr:uid="{00000000-0005-0000-0000-0000B60F0000}"/>
    <cellStyle name="Millares 7 4 2 4" xfId="3317" xr:uid="{00000000-0005-0000-0000-0000B70F0000}"/>
    <cellStyle name="Millares 7 4 3" xfId="2132" xr:uid="{00000000-0005-0000-0000-0000B80F0000}"/>
    <cellStyle name="Millares 7 4 3 2" xfId="3714" xr:uid="{00000000-0005-0000-0000-0000B90F0000}"/>
    <cellStyle name="Millares 7 4 4" xfId="1341" xr:uid="{00000000-0005-0000-0000-0000BA0F0000}"/>
    <cellStyle name="Millares 7 4 5" xfId="2923" xr:uid="{00000000-0005-0000-0000-0000BB0F0000}"/>
    <cellStyle name="Millares 7 5" xfId="611" xr:uid="{00000000-0005-0000-0000-0000BC0F0000}"/>
    <cellStyle name="Millares 7 5 2" xfId="1011" xr:uid="{00000000-0005-0000-0000-0000BD0F0000}"/>
    <cellStyle name="Millares 7 5 2 2" xfId="2594" xr:uid="{00000000-0005-0000-0000-0000BE0F0000}"/>
    <cellStyle name="Millares 7 5 2 2 2" xfId="4176" xr:uid="{00000000-0005-0000-0000-0000BF0F0000}"/>
    <cellStyle name="Millares 7 5 2 3" xfId="1803" xr:uid="{00000000-0005-0000-0000-0000C00F0000}"/>
    <cellStyle name="Millares 7 5 2 4" xfId="3385" xr:uid="{00000000-0005-0000-0000-0000C10F0000}"/>
    <cellStyle name="Millares 7 5 3" xfId="2200" xr:uid="{00000000-0005-0000-0000-0000C20F0000}"/>
    <cellStyle name="Millares 7 5 3 2" xfId="3782" xr:uid="{00000000-0005-0000-0000-0000C30F0000}"/>
    <cellStyle name="Millares 7 5 4" xfId="1409" xr:uid="{00000000-0005-0000-0000-0000C40F0000}"/>
    <cellStyle name="Millares 7 5 5" xfId="2991" xr:uid="{00000000-0005-0000-0000-0000C50F0000}"/>
    <cellStyle name="Millares 7 6" xfId="763" xr:uid="{00000000-0005-0000-0000-0000C60F0000}"/>
    <cellStyle name="Millares 7 6 2" xfId="1163" xr:uid="{00000000-0005-0000-0000-0000C70F0000}"/>
    <cellStyle name="Millares 7 6 2 2" xfId="2746" xr:uid="{00000000-0005-0000-0000-0000C80F0000}"/>
    <cellStyle name="Millares 7 6 2 2 2" xfId="4328" xr:uid="{00000000-0005-0000-0000-0000C90F0000}"/>
    <cellStyle name="Millares 7 6 2 3" xfId="1955" xr:uid="{00000000-0005-0000-0000-0000CA0F0000}"/>
    <cellStyle name="Millares 7 6 2 4" xfId="3537" xr:uid="{00000000-0005-0000-0000-0000CB0F0000}"/>
    <cellStyle name="Millares 7 6 3" xfId="2352" xr:uid="{00000000-0005-0000-0000-0000CC0F0000}"/>
    <cellStyle name="Millares 7 6 3 2" xfId="3934" xr:uid="{00000000-0005-0000-0000-0000CD0F0000}"/>
    <cellStyle name="Millares 7 6 4" xfId="1561" xr:uid="{00000000-0005-0000-0000-0000CE0F0000}"/>
    <cellStyle name="Millares 7 6 5" xfId="3143" xr:uid="{00000000-0005-0000-0000-0000CF0F0000}"/>
    <cellStyle name="Millares 7 7" xfId="790" xr:uid="{00000000-0005-0000-0000-0000D00F0000}"/>
    <cellStyle name="Millares 7 7 2" xfId="2373" xr:uid="{00000000-0005-0000-0000-0000D10F0000}"/>
    <cellStyle name="Millares 7 7 2 2" xfId="3955" xr:uid="{00000000-0005-0000-0000-0000D20F0000}"/>
    <cellStyle name="Millares 7 7 3" xfId="1582" xr:uid="{00000000-0005-0000-0000-0000D30F0000}"/>
    <cellStyle name="Millares 7 7 4" xfId="3164" xr:uid="{00000000-0005-0000-0000-0000D40F0000}"/>
    <cellStyle name="Millares 7 8" xfId="1979" xr:uid="{00000000-0005-0000-0000-0000D50F0000}"/>
    <cellStyle name="Millares 7 8 2" xfId="3561" xr:uid="{00000000-0005-0000-0000-0000D60F0000}"/>
    <cellStyle name="Millares 7 9" xfId="1188" xr:uid="{00000000-0005-0000-0000-0000D70F0000}"/>
    <cellStyle name="Millares 70" xfId="4349" xr:uid="{00000000-0005-0000-0000-0000D80F0000}"/>
    <cellStyle name="Millares 71" xfId="4348" xr:uid="{00000000-0005-0000-0000-0000D90F0000}"/>
    <cellStyle name="Millares 72" xfId="4345" xr:uid="{00000000-0005-0000-0000-0000DA0F0000}"/>
    <cellStyle name="Millares 73" xfId="4347" xr:uid="{00000000-0005-0000-0000-0000DB0F0000}"/>
    <cellStyle name="Millares 74" xfId="4350" xr:uid="{00000000-0005-0000-0000-0000DC0F0000}"/>
    <cellStyle name="Millares 8" xfId="303" xr:uid="{00000000-0005-0000-0000-0000DD0F0000}"/>
    <cellStyle name="Millares 8 10" xfId="2766" xr:uid="{00000000-0005-0000-0000-0000DE0F0000}"/>
    <cellStyle name="Millares 8 11" xfId="4640" xr:uid="{62E3C53F-4194-4E52-9E78-5C632DB8CA19}"/>
    <cellStyle name="Millares 8 11 2" xfId="5013" xr:uid="{4324CCAB-8A54-464F-B101-FF2CD378D72C}"/>
    <cellStyle name="Millares 8 12" xfId="4406" xr:uid="{96DC1C03-7A97-46E6-B743-3731F1573FFD}"/>
    <cellStyle name="Millares 8 2" xfId="381" xr:uid="{00000000-0005-0000-0000-0000DF0F0000}"/>
    <cellStyle name="Millares 8 2 2" xfId="496" xr:uid="{00000000-0005-0000-0000-0000E00F0000}"/>
    <cellStyle name="Millares 8 2 2 2" xfId="724" xr:uid="{00000000-0005-0000-0000-0000E10F0000}"/>
    <cellStyle name="Millares 8 2 2 2 2" xfId="1124" xr:uid="{00000000-0005-0000-0000-0000E20F0000}"/>
    <cellStyle name="Millares 8 2 2 2 2 2" xfId="2707" xr:uid="{00000000-0005-0000-0000-0000E30F0000}"/>
    <cellStyle name="Millares 8 2 2 2 2 2 2" xfId="4289" xr:uid="{00000000-0005-0000-0000-0000E40F0000}"/>
    <cellStyle name="Millares 8 2 2 2 2 3" xfId="1916" xr:uid="{00000000-0005-0000-0000-0000E50F0000}"/>
    <cellStyle name="Millares 8 2 2 2 2 4" xfId="3498" xr:uid="{00000000-0005-0000-0000-0000E60F0000}"/>
    <cellStyle name="Millares 8 2 2 2 3" xfId="2313" xr:uid="{00000000-0005-0000-0000-0000E70F0000}"/>
    <cellStyle name="Millares 8 2 2 2 3 2" xfId="3895" xr:uid="{00000000-0005-0000-0000-0000E80F0000}"/>
    <cellStyle name="Millares 8 2 2 2 4" xfId="1522" xr:uid="{00000000-0005-0000-0000-0000E90F0000}"/>
    <cellStyle name="Millares 8 2 2 2 5" xfId="3104" xr:uid="{00000000-0005-0000-0000-0000EA0F0000}"/>
    <cellStyle name="Millares 8 2 2 3" xfId="903" xr:uid="{00000000-0005-0000-0000-0000EB0F0000}"/>
    <cellStyle name="Millares 8 2 2 3 2" xfId="2486" xr:uid="{00000000-0005-0000-0000-0000EC0F0000}"/>
    <cellStyle name="Millares 8 2 2 3 2 2" xfId="4068" xr:uid="{00000000-0005-0000-0000-0000ED0F0000}"/>
    <cellStyle name="Millares 8 2 2 3 3" xfId="1695" xr:uid="{00000000-0005-0000-0000-0000EE0F0000}"/>
    <cellStyle name="Millares 8 2 2 3 4" xfId="3277" xr:uid="{00000000-0005-0000-0000-0000EF0F0000}"/>
    <cellStyle name="Millares 8 2 2 4" xfId="2092" xr:uid="{00000000-0005-0000-0000-0000F00F0000}"/>
    <cellStyle name="Millares 8 2 2 4 2" xfId="3674" xr:uid="{00000000-0005-0000-0000-0000F10F0000}"/>
    <cellStyle name="Millares 8 2 2 5" xfId="1301" xr:uid="{00000000-0005-0000-0000-0000F20F0000}"/>
    <cellStyle name="Millares 8 2 2 6" xfId="2883" xr:uid="{00000000-0005-0000-0000-0000F30F0000}"/>
    <cellStyle name="Millares 8 2 3" xfId="573" xr:uid="{00000000-0005-0000-0000-0000F40F0000}"/>
    <cellStyle name="Millares 8 2 3 2" xfId="980" xr:uid="{00000000-0005-0000-0000-0000F50F0000}"/>
    <cellStyle name="Millares 8 2 3 2 2" xfId="2563" xr:uid="{00000000-0005-0000-0000-0000F60F0000}"/>
    <cellStyle name="Millares 8 2 3 2 2 2" xfId="4145" xr:uid="{00000000-0005-0000-0000-0000F70F0000}"/>
    <cellStyle name="Millares 8 2 3 2 3" xfId="1772" xr:uid="{00000000-0005-0000-0000-0000F80F0000}"/>
    <cellStyle name="Millares 8 2 3 2 4" xfId="3354" xr:uid="{00000000-0005-0000-0000-0000F90F0000}"/>
    <cellStyle name="Millares 8 2 3 3" xfId="2169" xr:uid="{00000000-0005-0000-0000-0000FA0F0000}"/>
    <cellStyle name="Millares 8 2 3 3 2" xfId="3751" xr:uid="{00000000-0005-0000-0000-0000FB0F0000}"/>
    <cellStyle name="Millares 8 2 3 4" xfId="1378" xr:uid="{00000000-0005-0000-0000-0000FC0F0000}"/>
    <cellStyle name="Millares 8 2 3 5" xfId="2960" xr:uid="{00000000-0005-0000-0000-0000FD0F0000}"/>
    <cellStyle name="Millares 8 2 4" xfId="648" xr:uid="{00000000-0005-0000-0000-0000FE0F0000}"/>
    <cellStyle name="Millares 8 2 4 2" xfId="1048" xr:uid="{00000000-0005-0000-0000-0000FF0F0000}"/>
    <cellStyle name="Millares 8 2 4 2 2" xfId="2631" xr:uid="{00000000-0005-0000-0000-000000100000}"/>
    <cellStyle name="Millares 8 2 4 2 2 2" xfId="4213" xr:uid="{00000000-0005-0000-0000-000001100000}"/>
    <cellStyle name="Millares 8 2 4 2 3" xfId="1840" xr:uid="{00000000-0005-0000-0000-000002100000}"/>
    <cellStyle name="Millares 8 2 4 2 4" xfId="3422" xr:uid="{00000000-0005-0000-0000-000003100000}"/>
    <cellStyle name="Millares 8 2 4 3" xfId="2237" xr:uid="{00000000-0005-0000-0000-000004100000}"/>
    <cellStyle name="Millares 8 2 4 3 2" xfId="3819" xr:uid="{00000000-0005-0000-0000-000005100000}"/>
    <cellStyle name="Millares 8 2 4 4" xfId="1446" xr:uid="{00000000-0005-0000-0000-000006100000}"/>
    <cellStyle name="Millares 8 2 4 5" xfId="3028" xr:uid="{00000000-0005-0000-0000-000007100000}"/>
    <cellStyle name="Millares 8 2 5" xfId="827" xr:uid="{00000000-0005-0000-0000-000008100000}"/>
    <cellStyle name="Millares 8 2 5 2" xfId="2410" xr:uid="{00000000-0005-0000-0000-000009100000}"/>
    <cellStyle name="Millares 8 2 5 2 2" xfId="3992" xr:uid="{00000000-0005-0000-0000-00000A100000}"/>
    <cellStyle name="Millares 8 2 5 3" xfId="1619" xr:uid="{00000000-0005-0000-0000-00000B100000}"/>
    <cellStyle name="Millares 8 2 5 4" xfId="3201" xr:uid="{00000000-0005-0000-0000-00000C100000}"/>
    <cellStyle name="Millares 8 2 6" xfId="2016" xr:uid="{00000000-0005-0000-0000-00000D100000}"/>
    <cellStyle name="Millares 8 2 6 2" xfId="3598" xr:uid="{00000000-0005-0000-0000-00000E100000}"/>
    <cellStyle name="Millares 8 2 7" xfId="1225" xr:uid="{00000000-0005-0000-0000-00000F100000}"/>
    <cellStyle name="Millares 8 2 8" xfId="2807" xr:uid="{00000000-0005-0000-0000-000010100000}"/>
    <cellStyle name="Millares 8 3" xfId="455" xr:uid="{00000000-0005-0000-0000-000011100000}"/>
    <cellStyle name="Millares 8 3 2" xfId="683" xr:uid="{00000000-0005-0000-0000-000012100000}"/>
    <cellStyle name="Millares 8 3 2 2" xfId="1083" xr:uid="{00000000-0005-0000-0000-000013100000}"/>
    <cellStyle name="Millares 8 3 2 2 2" xfId="2666" xr:uid="{00000000-0005-0000-0000-000014100000}"/>
    <cellStyle name="Millares 8 3 2 2 2 2" xfId="4248" xr:uid="{00000000-0005-0000-0000-000015100000}"/>
    <cellStyle name="Millares 8 3 2 2 3" xfId="1875" xr:uid="{00000000-0005-0000-0000-000016100000}"/>
    <cellStyle name="Millares 8 3 2 2 4" xfId="3457" xr:uid="{00000000-0005-0000-0000-000017100000}"/>
    <cellStyle name="Millares 8 3 2 3" xfId="2272" xr:uid="{00000000-0005-0000-0000-000018100000}"/>
    <cellStyle name="Millares 8 3 2 3 2" xfId="3854" xr:uid="{00000000-0005-0000-0000-000019100000}"/>
    <cellStyle name="Millares 8 3 2 4" xfId="1481" xr:uid="{00000000-0005-0000-0000-00001A100000}"/>
    <cellStyle name="Millares 8 3 2 5" xfId="3063" xr:uid="{00000000-0005-0000-0000-00001B100000}"/>
    <cellStyle name="Millares 8 3 3" xfId="862" xr:uid="{00000000-0005-0000-0000-00001C100000}"/>
    <cellStyle name="Millares 8 3 3 2" xfId="2445" xr:uid="{00000000-0005-0000-0000-00001D100000}"/>
    <cellStyle name="Millares 8 3 3 2 2" xfId="4027" xr:uid="{00000000-0005-0000-0000-00001E100000}"/>
    <cellStyle name="Millares 8 3 3 3" xfId="1654" xr:uid="{00000000-0005-0000-0000-00001F100000}"/>
    <cellStyle name="Millares 8 3 3 4" xfId="3236" xr:uid="{00000000-0005-0000-0000-000020100000}"/>
    <cellStyle name="Millares 8 3 4" xfId="2051" xr:uid="{00000000-0005-0000-0000-000021100000}"/>
    <cellStyle name="Millares 8 3 4 2" xfId="3633" xr:uid="{00000000-0005-0000-0000-000022100000}"/>
    <cellStyle name="Millares 8 3 5" xfId="1260" xr:uid="{00000000-0005-0000-0000-000023100000}"/>
    <cellStyle name="Millares 8 3 6" xfId="2842" xr:uid="{00000000-0005-0000-0000-000024100000}"/>
    <cellStyle name="Millares 8 4" xfId="532" xr:uid="{00000000-0005-0000-0000-000025100000}"/>
    <cellStyle name="Millares 8 4 2" xfId="939" xr:uid="{00000000-0005-0000-0000-000026100000}"/>
    <cellStyle name="Millares 8 4 2 2" xfId="2522" xr:uid="{00000000-0005-0000-0000-000027100000}"/>
    <cellStyle name="Millares 8 4 2 2 2" xfId="4104" xr:uid="{00000000-0005-0000-0000-000028100000}"/>
    <cellStyle name="Millares 8 4 2 3" xfId="1731" xr:uid="{00000000-0005-0000-0000-000029100000}"/>
    <cellStyle name="Millares 8 4 2 4" xfId="3313" xr:uid="{00000000-0005-0000-0000-00002A100000}"/>
    <cellStyle name="Millares 8 4 3" xfId="2128" xr:uid="{00000000-0005-0000-0000-00002B100000}"/>
    <cellStyle name="Millares 8 4 3 2" xfId="3710" xr:uid="{00000000-0005-0000-0000-00002C100000}"/>
    <cellStyle name="Millares 8 4 4" xfId="1337" xr:uid="{00000000-0005-0000-0000-00002D100000}"/>
    <cellStyle name="Millares 8 4 5" xfId="2919" xr:uid="{00000000-0005-0000-0000-00002E100000}"/>
    <cellStyle name="Millares 8 5" xfId="607" xr:uid="{00000000-0005-0000-0000-00002F100000}"/>
    <cellStyle name="Millares 8 5 2" xfId="1007" xr:uid="{00000000-0005-0000-0000-000030100000}"/>
    <cellStyle name="Millares 8 5 2 2" xfId="2590" xr:uid="{00000000-0005-0000-0000-000031100000}"/>
    <cellStyle name="Millares 8 5 2 2 2" xfId="4172" xr:uid="{00000000-0005-0000-0000-000032100000}"/>
    <cellStyle name="Millares 8 5 2 3" xfId="1799" xr:uid="{00000000-0005-0000-0000-000033100000}"/>
    <cellStyle name="Millares 8 5 2 4" xfId="3381" xr:uid="{00000000-0005-0000-0000-000034100000}"/>
    <cellStyle name="Millares 8 5 3" xfId="2196" xr:uid="{00000000-0005-0000-0000-000035100000}"/>
    <cellStyle name="Millares 8 5 3 2" xfId="3778" xr:uid="{00000000-0005-0000-0000-000036100000}"/>
    <cellStyle name="Millares 8 5 4" xfId="1405" xr:uid="{00000000-0005-0000-0000-000037100000}"/>
    <cellStyle name="Millares 8 5 5" xfId="2987" xr:uid="{00000000-0005-0000-0000-000038100000}"/>
    <cellStyle name="Millares 8 6" xfId="759" xr:uid="{00000000-0005-0000-0000-000039100000}"/>
    <cellStyle name="Millares 8 6 2" xfId="1159" xr:uid="{00000000-0005-0000-0000-00003A100000}"/>
    <cellStyle name="Millares 8 6 2 2" xfId="2742" xr:uid="{00000000-0005-0000-0000-00003B100000}"/>
    <cellStyle name="Millares 8 6 2 2 2" xfId="4324" xr:uid="{00000000-0005-0000-0000-00003C100000}"/>
    <cellStyle name="Millares 8 6 2 3" xfId="1951" xr:uid="{00000000-0005-0000-0000-00003D100000}"/>
    <cellStyle name="Millares 8 6 2 4" xfId="3533" xr:uid="{00000000-0005-0000-0000-00003E100000}"/>
    <cellStyle name="Millares 8 6 3" xfId="2348" xr:uid="{00000000-0005-0000-0000-00003F100000}"/>
    <cellStyle name="Millares 8 6 3 2" xfId="3930" xr:uid="{00000000-0005-0000-0000-000040100000}"/>
    <cellStyle name="Millares 8 6 4" xfId="1557" xr:uid="{00000000-0005-0000-0000-000041100000}"/>
    <cellStyle name="Millares 8 6 5" xfId="3139" xr:uid="{00000000-0005-0000-0000-000042100000}"/>
    <cellStyle name="Millares 8 7" xfId="786" xr:uid="{00000000-0005-0000-0000-000043100000}"/>
    <cellStyle name="Millares 8 7 2" xfId="2369" xr:uid="{00000000-0005-0000-0000-000044100000}"/>
    <cellStyle name="Millares 8 7 2 2" xfId="3951" xr:uid="{00000000-0005-0000-0000-000045100000}"/>
    <cellStyle name="Millares 8 7 3" xfId="1578" xr:uid="{00000000-0005-0000-0000-000046100000}"/>
    <cellStyle name="Millares 8 7 4" xfId="3160" xr:uid="{00000000-0005-0000-0000-000047100000}"/>
    <cellStyle name="Millares 8 8" xfId="1975" xr:uid="{00000000-0005-0000-0000-000048100000}"/>
    <cellStyle name="Millares 8 8 2" xfId="3557" xr:uid="{00000000-0005-0000-0000-000049100000}"/>
    <cellStyle name="Millares 8 9" xfId="1184" xr:uid="{00000000-0005-0000-0000-00004A100000}"/>
    <cellStyle name="Millares 9" xfId="309" xr:uid="{00000000-0005-0000-0000-00004B100000}"/>
    <cellStyle name="Millares 9 10" xfId="2769" xr:uid="{00000000-0005-0000-0000-00004C100000}"/>
    <cellStyle name="Millares 9 11" xfId="4653" xr:uid="{6FE05987-647F-43E3-83E6-D2B54D6731E2}"/>
    <cellStyle name="Millares 9 11 2" xfId="5026" xr:uid="{E0C42164-0B0D-455C-AFF8-6A9D4E73F537}"/>
    <cellStyle name="Millares 9 12" xfId="4422" xr:uid="{EEDA6790-0A87-4592-B7AC-E339F53D363E}"/>
    <cellStyle name="Millares 9 2" xfId="387" xr:uid="{00000000-0005-0000-0000-00004D100000}"/>
    <cellStyle name="Millares 9 2 2" xfId="499" xr:uid="{00000000-0005-0000-0000-00004E100000}"/>
    <cellStyle name="Millares 9 2 2 2" xfId="727" xr:uid="{00000000-0005-0000-0000-00004F100000}"/>
    <cellStyle name="Millares 9 2 2 2 2" xfId="1127" xr:uid="{00000000-0005-0000-0000-000050100000}"/>
    <cellStyle name="Millares 9 2 2 2 2 2" xfId="2710" xr:uid="{00000000-0005-0000-0000-000051100000}"/>
    <cellStyle name="Millares 9 2 2 2 2 2 2" xfId="4292" xr:uid="{00000000-0005-0000-0000-000052100000}"/>
    <cellStyle name="Millares 9 2 2 2 2 3" xfId="1919" xr:uid="{00000000-0005-0000-0000-000053100000}"/>
    <cellStyle name="Millares 9 2 2 2 2 4" xfId="3501" xr:uid="{00000000-0005-0000-0000-000054100000}"/>
    <cellStyle name="Millares 9 2 2 2 3" xfId="2316" xr:uid="{00000000-0005-0000-0000-000055100000}"/>
    <cellStyle name="Millares 9 2 2 2 3 2" xfId="3898" xr:uid="{00000000-0005-0000-0000-000056100000}"/>
    <cellStyle name="Millares 9 2 2 2 4" xfId="1525" xr:uid="{00000000-0005-0000-0000-000057100000}"/>
    <cellStyle name="Millares 9 2 2 2 5" xfId="3107" xr:uid="{00000000-0005-0000-0000-000058100000}"/>
    <cellStyle name="Millares 9 2 2 3" xfId="906" xr:uid="{00000000-0005-0000-0000-000059100000}"/>
    <cellStyle name="Millares 9 2 2 3 2" xfId="2489" xr:uid="{00000000-0005-0000-0000-00005A100000}"/>
    <cellStyle name="Millares 9 2 2 3 2 2" xfId="4071" xr:uid="{00000000-0005-0000-0000-00005B100000}"/>
    <cellStyle name="Millares 9 2 2 3 3" xfId="1698" xr:uid="{00000000-0005-0000-0000-00005C100000}"/>
    <cellStyle name="Millares 9 2 2 3 4" xfId="3280" xr:uid="{00000000-0005-0000-0000-00005D100000}"/>
    <cellStyle name="Millares 9 2 2 4" xfId="2095" xr:uid="{00000000-0005-0000-0000-00005E100000}"/>
    <cellStyle name="Millares 9 2 2 4 2" xfId="3677" xr:uid="{00000000-0005-0000-0000-00005F100000}"/>
    <cellStyle name="Millares 9 2 2 5" xfId="1304" xr:uid="{00000000-0005-0000-0000-000060100000}"/>
    <cellStyle name="Millares 9 2 2 6" xfId="2886" xr:uid="{00000000-0005-0000-0000-000061100000}"/>
    <cellStyle name="Millares 9 2 3" xfId="576" xr:uid="{00000000-0005-0000-0000-000062100000}"/>
    <cellStyle name="Millares 9 2 3 2" xfId="983" xr:uid="{00000000-0005-0000-0000-000063100000}"/>
    <cellStyle name="Millares 9 2 3 2 2" xfId="2566" xr:uid="{00000000-0005-0000-0000-000064100000}"/>
    <cellStyle name="Millares 9 2 3 2 2 2" xfId="4148" xr:uid="{00000000-0005-0000-0000-000065100000}"/>
    <cellStyle name="Millares 9 2 3 2 3" xfId="1775" xr:uid="{00000000-0005-0000-0000-000066100000}"/>
    <cellStyle name="Millares 9 2 3 2 4" xfId="3357" xr:uid="{00000000-0005-0000-0000-000067100000}"/>
    <cellStyle name="Millares 9 2 3 3" xfId="2172" xr:uid="{00000000-0005-0000-0000-000068100000}"/>
    <cellStyle name="Millares 9 2 3 3 2" xfId="3754" xr:uid="{00000000-0005-0000-0000-000069100000}"/>
    <cellStyle name="Millares 9 2 3 4" xfId="1381" xr:uid="{00000000-0005-0000-0000-00006A100000}"/>
    <cellStyle name="Millares 9 2 3 5" xfId="2963" xr:uid="{00000000-0005-0000-0000-00006B100000}"/>
    <cellStyle name="Millares 9 2 4" xfId="651" xr:uid="{00000000-0005-0000-0000-00006C100000}"/>
    <cellStyle name="Millares 9 2 4 2" xfId="1051" xr:uid="{00000000-0005-0000-0000-00006D100000}"/>
    <cellStyle name="Millares 9 2 4 2 2" xfId="2634" xr:uid="{00000000-0005-0000-0000-00006E100000}"/>
    <cellStyle name="Millares 9 2 4 2 2 2" xfId="4216" xr:uid="{00000000-0005-0000-0000-00006F100000}"/>
    <cellStyle name="Millares 9 2 4 2 3" xfId="1843" xr:uid="{00000000-0005-0000-0000-000070100000}"/>
    <cellStyle name="Millares 9 2 4 2 4" xfId="3425" xr:uid="{00000000-0005-0000-0000-000071100000}"/>
    <cellStyle name="Millares 9 2 4 3" xfId="2240" xr:uid="{00000000-0005-0000-0000-000072100000}"/>
    <cellStyle name="Millares 9 2 4 3 2" xfId="3822" xr:uid="{00000000-0005-0000-0000-000073100000}"/>
    <cellStyle name="Millares 9 2 4 4" xfId="1449" xr:uid="{00000000-0005-0000-0000-000074100000}"/>
    <cellStyle name="Millares 9 2 4 5" xfId="3031" xr:uid="{00000000-0005-0000-0000-000075100000}"/>
    <cellStyle name="Millares 9 2 5" xfId="830" xr:uid="{00000000-0005-0000-0000-000076100000}"/>
    <cellStyle name="Millares 9 2 5 2" xfId="2413" xr:uid="{00000000-0005-0000-0000-000077100000}"/>
    <cellStyle name="Millares 9 2 5 2 2" xfId="3995" xr:uid="{00000000-0005-0000-0000-000078100000}"/>
    <cellStyle name="Millares 9 2 5 3" xfId="1622" xr:uid="{00000000-0005-0000-0000-000079100000}"/>
    <cellStyle name="Millares 9 2 5 4" xfId="3204" xr:uid="{00000000-0005-0000-0000-00007A100000}"/>
    <cellStyle name="Millares 9 2 6" xfId="2019" xr:uid="{00000000-0005-0000-0000-00007B100000}"/>
    <cellStyle name="Millares 9 2 6 2" xfId="3601" xr:uid="{00000000-0005-0000-0000-00007C100000}"/>
    <cellStyle name="Millares 9 2 7" xfId="1228" xr:uid="{00000000-0005-0000-0000-00007D100000}"/>
    <cellStyle name="Millares 9 2 8" xfId="2810" xr:uid="{00000000-0005-0000-0000-00007E100000}"/>
    <cellStyle name="Millares 9 3" xfId="458" xr:uid="{00000000-0005-0000-0000-00007F100000}"/>
    <cellStyle name="Millares 9 3 2" xfId="686" xr:uid="{00000000-0005-0000-0000-000080100000}"/>
    <cellStyle name="Millares 9 3 2 2" xfId="1086" xr:uid="{00000000-0005-0000-0000-000081100000}"/>
    <cellStyle name="Millares 9 3 2 2 2" xfId="2669" xr:uid="{00000000-0005-0000-0000-000082100000}"/>
    <cellStyle name="Millares 9 3 2 2 2 2" xfId="4251" xr:uid="{00000000-0005-0000-0000-000083100000}"/>
    <cellStyle name="Millares 9 3 2 2 3" xfId="1878" xr:uid="{00000000-0005-0000-0000-000084100000}"/>
    <cellStyle name="Millares 9 3 2 2 4" xfId="3460" xr:uid="{00000000-0005-0000-0000-000085100000}"/>
    <cellStyle name="Millares 9 3 2 3" xfId="2275" xr:uid="{00000000-0005-0000-0000-000086100000}"/>
    <cellStyle name="Millares 9 3 2 3 2" xfId="3857" xr:uid="{00000000-0005-0000-0000-000087100000}"/>
    <cellStyle name="Millares 9 3 2 4" xfId="1484" xr:uid="{00000000-0005-0000-0000-000088100000}"/>
    <cellStyle name="Millares 9 3 2 5" xfId="3066" xr:uid="{00000000-0005-0000-0000-000089100000}"/>
    <cellStyle name="Millares 9 3 3" xfId="865" xr:uid="{00000000-0005-0000-0000-00008A100000}"/>
    <cellStyle name="Millares 9 3 3 2" xfId="2448" xr:uid="{00000000-0005-0000-0000-00008B100000}"/>
    <cellStyle name="Millares 9 3 3 2 2" xfId="4030" xr:uid="{00000000-0005-0000-0000-00008C100000}"/>
    <cellStyle name="Millares 9 3 3 3" xfId="1657" xr:uid="{00000000-0005-0000-0000-00008D100000}"/>
    <cellStyle name="Millares 9 3 3 4" xfId="3239" xr:uid="{00000000-0005-0000-0000-00008E100000}"/>
    <cellStyle name="Millares 9 3 4" xfId="2054" xr:uid="{00000000-0005-0000-0000-00008F100000}"/>
    <cellStyle name="Millares 9 3 4 2" xfId="3636" xr:uid="{00000000-0005-0000-0000-000090100000}"/>
    <cellStyle name="Millares 9 3 5" xfId="1263" xr:uid="{00000000-0005-0000-0000-000091100000}"/>
    <cellStyle name="Millares 9 3 6" xfId="2845" xr:uid="{00000000-0005-0000-0000-000092100000}"/>
    <cellStyle name="Millares 9 4" xfId="535" xr:uid="{00000000-0005-0000-0000-000093100000}"/>
    <cellStyle name="Millares 9 4 2" xfId="942" xr:uid="{00000000-0005-0000-0000-000094100000}"/>
    <cellStyle name="Millares 9 4 2 2" xfId="2525" xr:uid="{00000000-0005-0000-0000-000095100000}"/>
    <cellStyle name="Millares 9 4 2 2 2" xfId="4107" xr:uid="{00000000-0005-0000-0000-000096100000}"/>
    <cellStyle name="Millares 9 4 2 3" xfId="1734" xr:uid="{00000000-0005-0000-0000-000097100000}"/>
    <cellStyle name="Millares 9 4 2 4" xfId="3316" xr:uid="{00000000-0005-0000-0000-000098100000}"/>
    <cellStyle name="Millares 9 4 3" xfId="2131" xr:uid="{00000000-0005-0000-0000-000099100000}"/>
    <cellStyle name="Millares 9 4 3 2" xfId="3713" xr:uid="{00000000-0005-0000-0000-00009A100000}"/>
    <cellStyle name="Millares 9 4 4" xfId="1340" xr:uid="{00000000-0005-0000-0000-00009B100000}"/>
    <cellStyle name="Millares 9 4 5" xfId="2922" xr:uid="{00000000-0005-0000-0000-00009C100000}"/>
    <cellStyle name="Millares 9 5" xfId="610" xr:uid="{00000000-0005-0000-0000-00009D100000}"/>
    <cellStyle name="Millares 9 5 2" xfId="1010" xr:uid="{00000000-0005-0000-0000-00009E100000}"/>
    <cellStyle name="Millares 9 5 2 2" xfId="2593" xr:uid="{00000000-0005-0000-0000-00009F100000}"/>
    <cellStyle name="Millares 9 5 2 2 2" xfId="4175" xr:uid="{00000000-0005-0000-0000-0000A0100000}"/>
    <cellStyle name="Millares 9 5 2 3" xfId="1802" xr:uid="{00000000-0005-0000-0000-0000A1100000}"/>
    <cellStyle name="Millares 9 5 2 4" xfId="3384" xr:uid="{00000000-0005-0000-0000-0000A2100000}"/>
    <cellStyle name="Millares 9 5 3" xfId="2199" xr:uid="{00000000-0005-0000-0000-0000A3100000}"/>
    <cellStyle name="Millares 9 5 3 2" xfId="3781" xr:uid="{00000000-0005-0000-0000-0000A4100000}"/>
    <cellStyle name="Millares 9 5 4" xfId="1408" xr:uid="{00000000-0005-0000-0000-0000A5100000}"/>
    <cellStyle name="Millares 9 5 5" xfId="2990" xr:uid="{00000000-0005-0000-0000-0000A6100000}"/>
    <cellStyle name="Millares 9 6" xfId="762" xr:uid="{00000000-0005-0000-0000-0000A7100000}"/>
    <cellStyle name="Millares 9 6 2" xfId="1162" xr:uid="{00000000-0005-0000-0000-0000A8100000}"/>
    <cellStyle name="Millares 9 6 2 2" xfId="2745" xr:uid="{00000000-0005-0000-0000-0000A9100000}"/>
    <cellStyle name="Millares 9 6 2 2 2" xfId="4327" xr:uid="{00000000-0005-0000-0000-0000AA100000}"/>
    <cellStyle name="Millares 9 6 2 3" xfId="1954" xr:uid="{00000000-0005-0000-0000-0000AB100000}"/>
    <cellStyle name="Millares 9 6 2 4" xfId="3536" xr:uid="{00000000-0005-0000-0000-0000AC100000}"/>
    <cellStyle name="Millares 9 6 3" xfId="2351" xr:uid="{00000000-0005-0000-0000-0000AD100000}"/>
    <cellStyle name="Millares 9 6 3 2" xfId="3933" xr:uid="{00000000-0005-0000-0000-0000AE100000}"/>
    <cellStyle name="Millares 9 6 4" xfId="1560" xr:uid="{00000000-0005-0000-0000-0000AF100000}"/>
    <cellStyle name="Millares 9 6 5" xfId="3142" xr:uid="{00000000-0005-0000-0000-0000B0100000}"/>
    <cellStyle name="Millares 9 7" xfId="789" xr:uid="{00000000-0005-0000-0000-0000B1100000}"/>
    <cellStyle name="Millares 9 7 2" xfId="2372" xr:uid="{00000000-0005-0000-0000-0000B2100000}"/>
    <cellStyle name="Millares 9 7 2 2" xfId="3954" xr:uid="{00000000-0005-0000-0000-0000B3100000}"/>
    <cellStyle name="Millares 9 7 3" xfId="1581" xr:uid="{00000000-0005-0000-0000-0000B4100000}"/>
    <cellStyle name="Millares 9 7 4" xfId="3163" xr:uid="{00000000-0005-0000-0000-0000B5100000}"/>
    <cellStyle name="Millares 9 8" xfId="1978" xr:uid="{00000000-0005-0000-0000-0000B6100000}"/>
    <cellStyle name="Millares 9 8 2" xfId="3560" xr:uid="{00000000-0005-0000-0000-0000B7100000}"/>
    <cellStyle name="Millares 9 9" xfId="1187" xr:uid="{00000000-0005-0000-0000-0000B8100000}"/>
    <cellStyle name="Moneda [0] 2" xfId="4609" xr:uid="{8A811AEB-040B-45F5-9423-1AF1C878F8F0}"/>
    <cellStyle name="Moneda [0] 2 2" xfId="4799" xr:uid="{53FCFBF5-1D8C-420D-B3DF-FDC6E1346304}"/>
    <cellStyle name="Moneda [0] 2 2 2" xfId="5098" xr:uid="{717CB445-0DC8-45E9-A04E-8E17FDD060ED}"/>
    <cellStyle name="Moneda [0] 2 3" xfId="4894" xr:uid="{9A296AAE-03F0-4532-AB70-201268F1F915}"/>
    <cellStyle name="Moneda [0] 2 3 2" xfId="5179" xr:uid="{DA76DEFB-55C7-4163-B4C2-7A8EF77FE25A}"/>
    <cellStyle name="Moneda [0] 2 4" xfId="4987" xr:uid="{DFDD8CD0-BC11-49AD-80F6-A62CDEE7A7B4}"/>
    <cellStyle name="Moneda [0] 3" xfId="4798" xr:uid="{D138809F-8A97-4C93-BAAB-22EF1128E54D}"/>
    <cellStyle name="Moneda [0] 3 2" xfId="5097" xr:uid="{D897CE4C-3427-4577-BF31-92FC0731B201}"/>
    <cellStyle name="Moneda [0] 4" xfId="4895" xr:uid="{3FAE3CCC-7345-4EE2-90B9-533377DE3F15}"/>
    <cellStyle name="Moneda [0] 4 2" xfId="5180" xr:uid="{BE5AF9DF-CBD8-4A6E-8651-51D52D477C3D}"/>
    <cellStyle name="Moneda0" xfId="214" xr:uid="{00000000-0005-0000-0000-0000B9100000}"/>
    <cellStyle name="Monetario" xfId="215" xr:uid="{00000000-0005-0000-0000-0000BA100000}"/>
    <cellStyle name="Monetario0" xfId="216" xr:uid="{00000000-0005-0000-0000-0000BB100000}"/>
    <cellStyle name="Neutral" xfId="4357" builtinId="28" customBuiltin="1"/>
    <cellStyle name="Neutral 2" xfId="590" xr:uid="{00000000-0005-0000-0000-0000BC100000}"/>
    <cellStyle name="Neutral 2 2" xfId="4599" xr:uid="{A6BB095D-4AC6-4625-9E32-9325CFBF67D9}"/>
    <cellStyle name="Neutral 2 3" xfId="4385" xr:uid="{255FF8F9-8204-47A3-8FC0-7AC634C99865}"/>
    <cellStyle name="Neutral 3" xfId="57" xr:uid="{00000000-0005-0000-0000-0000BD100000}"/>
    <cellStyle name="No-definido" xfId="217" xr:uid="{00000000-0005-0000-0000-0000BE100000}"/>
    <cellStyle name="Normal" xfId="0" builtinId="0"/>
    <cellStyle name="Normal - Formatvorlage1" xfId="218" xr:uid="{00000000-0005-0000-0000-0000C0100000}"/>
    <cellStyle name="Normal - Style1" xfId="219" xr:uid="{00000000-0005-0000-0000-0000C1100000}"/>
    <cellStyle name="Normal 10" xfId="289" xr:uid="{00000000-0005-0000-0000-0000C2100000}"/>
    <cellStyle name="Normal 10 2" xfId="4381" xr:uid="{16C44B47-FB17-4330-BCEE-DEEB9E3DDD35}"/>
    <cellStyle name="Normal 11" xfId="1171" xr:uid="{00000000-0005-0000-0000-0000C3100000}"/>
    <cellStyle name="Normal 11 2" xfId="4600" xr:uid="{2A25D783-F361-4D13-8D6A-A8895FE86F39}"/>
    <cellStyle name="Normal 11 3" xfId="4395" xr:uid="{DAD27AB6-2779-431F-805C-9D4CB8C427AD}"/>
    <cellStyle name="Normal 12" xfId="1173" xr:uid="{00000000-0005-0000-0000-0000C4100000}"/>
    <cellStyle name="Normal 12 2" xfId="4421" xr:uid="{D12E2DCF-18CC-4F92-9E5C-F23E5082EF4B}"/>
    <cellStyle name="Normal 13" xfId="4444" xr:uid="{72A33D8E-9BF1-4AAA-AF26-A1413DA1B946}"/>
    <cellStyle name="Normal 13 2" xfId="4469" xr:uid="{7B735088-853A-48A3-BB87-1D1A781A0699}"/>
    <cellStyle name="Normal 14" xfId="4480" xr:uid="{E5DB8FD5-81DD-4342-AAF7-CF416F70D411}"/>
    <cellStyle name="Normal 140" xfId="4367" xr:uid="{E3A4EDFC-E1F6-45C7-93C5-AE1CCB97948B}"/>
    <cellStyle name="Normal 15" xfId="4511" xr:uid="{E668DEF1-FB91-497F-831E-FB7EF77407A3}"/>
    <cellStyle name="Normal 16" xfId="4611" xr:uid="{D2CD9F1C-565A-468E-BD46-3D4FC9A604B4}"/>
    <cellStyle name="Normal 2" xfId="13" xr:uid="{00000000-0005-0000-0000-0000C5100000}"/>
    <cellStyle name="Normal 2 2" xfId="14" xr:uid="{00000000-0005-0000-0000-0000C6100000}"/>
    <cellStyle name="Normal 2 2 2" xfId="20" xr:uid="{00000000-0005-0000-0000-0000C7100000}"/>
    <cellStyle name="Normal 2 3" xfId="220" xr:uid="{00000000-0005-0000-0000-0000C8100000}"/>
    <cellStyle name="Normal 2 3 2" xfId="4471" xr:uid="{E604DFFD-C847-47D6-B1D7-1A2E166940DC}"/>
    <cellStyle name="Normal 2 3 3" xfId="4601" xr:uid="{8AACEED3-587C-4CC2-B0A8-A218B3EDAD6A}"/>
    <cellStyle name="Normal 2 3 4" xfId="4446" xr:uid="{54BBB623-3E26-47EB-BE14-1B21183D6BE0}"/>
    <cellStyle name="Normal 2_12000 ESTADOS FINANCIEROS IFRS DICIEMBRE 2008" xfId="221" xr:uid="{00000000-0005-0000-0000-0000C9100000}"/>
    <cellStyle name="Normal 3" xfId="3" xr:uid="{00000000-0005-0000-0000-0000CA100000}"/>
    <cellStyle name="Normal 3 2" xfId="16" xr:uid="{00000000-0005-0000-0000-0000CB100000}"/>
    <cellStyle name="Normal 3 3" xfId="15" xr:uid="{00000000-0005-0000-0000-0000CC100000}"/>
    <cellStyle name="Normal 3 3 2" xfId="4602" xr:uid="{FDE54023-B2AD-4F20-AE10-0E4BF688041C}"/>
    <cellStyle name="Normal 3 4" xfId="292" xr:uid="{00000000-0005-0000-0000-0000CD100000}"/>
    <cellStyle name="Normal 3 5" xfId="65" xr:uid="{00000000-0005-0000-0000-0000CE100000}"/>
    <cellStyle name="Normal 3 6" xfId="4368" xr:uid="{61DF476D-7CB1-403C-9ED2-2113744CADF0}"/>
    <cellStyle name="Normal 4" xfId="6" xr:uid="{00000000-0005-0000-0000-0000CF100000}"/>
    <cellStyle name="Normal 4 2" xfId="223" xr:uid="{00000000-0005-0000-0000-0000D0100000}"/>
    <cellStyle name="Normal 4 3" xfId="222" xr:uid="{00000000-0005-0000-0000-0000D1100000}"/>
    <cellStyle name="Normal 4_IFRS MARZ-JUN-DIC DTT" xfId="224" xr:uid="{00000000-0005-0000-0000-0000D2100000}"/>
    <cellStyle name="Normal 5" xfId="9" xr:uid="{00000000-0005-0000-0000-0000D3100000}"/>
    <cellStyle name="Normal 5 2" xfId="4371" xr:uid="{5E4E68CA-8CE6-4053-A2DD-FCE0C118776F}"/>
    <cellStyle name="Normal 5 3" xfId="4417" xr:uid="{135AACAF-B671-4148-9B88-647D4EDD2E0B}"/>
    <cellStyle name="Normal 6" xfId="286" xr:uid="{00000000-0005-0000-0000-0000D4100000}"/>
    <cellStyle name="Normal 6 2" xfId="4377" xr:uid="{02F700C6-F52A-4323-9BD9-81134C91DF0A}"/>
    <cellStyle name="Normal 6 3" xfId="4374" xr:uid="{6D5815A3-D8DE-48FD-A098-F2D910AF2413}"/>
    <cellStyle name="Normal 6 4" xfId="4603" xr:uid="{B8F1DDB7-9E4D-4F4D-8C9C-99D554D70392}"/>
    <cellStyle name="Normal 6 5" xfId="4369" xr:uid="{0CF6710C-70CA-45DB-B816-E173A9CF4116}"/>
    <cellStyle name="Normal 7" xfId="22" xr:uid="{00000000-0005-0000-0000-0000D5100000}"/>
    <cellStyle name="Normal 7 2" xfId="225" xr:uid="{00000000-0005-0000-0000-0000D6100000}"/>
    <cellStyle name="Normal 7 2 2" xfId="4396" xr:uid="{4F50A413-BF02-49F0-9B52-41EE90B8E7EE}"/>
    <cellStyle name="Normal 8" xfId="287" xr:uid="{00000000-0005-0000-0000-0000D7100000}"/>
    <cellStyle name="Normal 8 2" xfId="4378" xr:uid="{69DD8CE5-D28F-4999-A43B-572CC178A390}"/>
    <cellStyle name="Normal 8 3" xfId="4604" xr:uid="{210E5AB0-9BB7-4EE1-BBA8-2602890A2C92}"/>
    <cellStyle name="Normal 8 4" xfId="4370" xr:uid="{4C67471E-E969-406F-BD50-D952799BE5AA}"/>
    <cellStyle name="Normal 85" xfId="429" xr:uid="{00000000-0005-0000-0000-0000D8100000}"/>
    <cellStyle name="Normal 9" xfId="288" xr:uid="{00000000-0005-0000-0000-0000D9100000}"/>
    <cellStyle name="Normal 9 2" xfId="4454" xr:uid="{FBFC1ED0-4F7F-4918-90E3-130044B90E32}"/>
    <cellStyle name="Note" xfId="34" builtinId="10" customBuiltin="1"/>
    <cellStyle name="Note 2" xfId="226" xr:uid="{00000000-0005-0000-0000-0000DB100000}"/>
    <cellStyle name="Note 2 2" xfId="776" xr:uid="{00000000-0005-0000-0000-0000DC100000}"/>
    <cellStyle name="Note 2 2 2" xfId="4792" xr:uid="{6FDF913C-C9B9-49F7-A040-D785668951BC}"/>
    <cellStyle name="Note 2 2 3" xfId="4803" xr:uid="{7408BFE7-1E32-4061-90AA-4414F01CB45A}"/>
    <cellStyle name="Note 2 3" xfId="4791" xr:uid="{EC37B6E0-3FCE-4D5C-8322-41E729BEB592}"/>
    <cellStyle name="Note 2 4" xfId="4802" xr:uid="{2877C205-812B-4B7B-8237-255939E8C984}"/>
    <cellStyle name="Output" xfId="29" builtinId="21" customBuiltin="1"/>
    <cellStyle name="Output 2" xfId="227" xr:uid="{00000000-0005-0000-0000-0000DD100000}"/>
    <cellStyle name="Output 2 2" xfId="777" xr:uid="{00000000-0005-0000-0000-0000DE100000}"/>
    <cellStyle name="Output 2 2 2" xfId="4794" xr:uid="{71EB01F6-F8B9-4832-AB78-92BC36F35E45}"/>
    <cellStyle name="Output 2 2 3" xfId="4805" xr:uid="{9BC946EF-7A67-454E-A038-4AD2AF56C2C5}"/>
    <cellStyle name="Output 2 3" xfId="4793" xr:uid="{C260CE38-FAD2-485F-A65E-D98A5A2B15B4}"/>
    <cellStyle name="Output 2 4" xfId="4804" xr:uid="{46D6762F-AB65-4F84-AFF6-ECEF0054927A}"/>
    <cellStyle name="Percent" xfId="2" builtinId="5"/>
    <cellStyle name="Percent %" xfId="228" xr:uid="{00000000-0005-0000-0000-0000E0100000}"/>
    <cellStyle name="Percent % Long Underline" xfId="229" xr:uid="{00000000-0005-0000-0000-0000E1100000}"/>
    <cellStyle name="Percent %_Caso 10" xfId="230" xr:uid="{00000000-0005-0000-0000-0000E2100000}"/>
    <cellStyle name="Percent (0)" xfId="231" xr:uid="{00000000-0005-0000-0000-0000E3100000}"/>
    <cellStyle name="Percent [2]" xfId="232" xr:uid="{00000000-0005-0000-0000-0000E4100000}"/>
    <cellStyle name="Percent 0.0%" xfId="233" xr:uid="{00000000-0005-0000-0000-0000E5100000}"/>
    <cellStyle name="Percent 0.0% Long Underline" xfId="234" xr:uid="{00000000-0005-0000-0000-0000E6100000}"/>
    <cellStyle name="Percent 0.0%_Caso 10" xfId="235" xr:uid="{00000000-0005-0000-0000-0000E7100000}"/>
    <cellStyle name="Percent 0.00%" xfId="236" xr:uid="{00000000-0005-0000-0000-0000E8100000}"/>
    <cellStyle name="Percent 0.00% Long Underline" xfId="237" xr:uid="{00000000-0005-0000-0000-0000E9100000}"/>
    <cellStyle name="Percent 0.00%_Caso 10" xfId="238" xr:uid="{00000000-0005-0000-0000-0000EA100000}"/>
    <cellStyle name="Percent 0.000%" xfId="239" xr:uid="{00000000-0005-0000-0000-0000EB100000}"/>
    <cellStyle name="Percent 0.000% Long Underline" xfId="240" xr:uid="{00000000-0005-0000-0000-0000EC100000}"/>
    <cellStyle name="Percent 0.000%_Caso 10" xfId="241" xr:uid="{00000000-0005-0000-0000-0000ED100000}"/>
    <cellStyle name="Percent 2" xfId="242" xr:uid="{00000000-0005-0000-0000-0000EE100000}"/>
    <cellStyle name="Percent 2 2" xfId="243" xr:uid="{00000000-0005-0000-0000-0000EF100000}"/>
    <cellStyle name="Percent 2 2 2" xfId="244" xr:uid="{00000000-0005-0000-0000-0000F0100000}"/>
    <cellStyle name="Percent 3" xfId="245" xr:uid="{00000000-0005-0000-0000-0000F1100000}"/>
    <cellStyle name="Percent 4" xfId="246" xr:uid="{00000000-0005-0000-0000-0000F2100000}"/>
    <cellStyle name="Porcen - Estilo2" xfId="247" xr:uid="{00000000-0005-0000-0000-0000F3100000}"/>
    <cellStyle name="Porcentaje 2" xfId="17" xr:uid="{00000000-0005-0000-0000-0000F5100000}"/>
    <cellStyle name="Porcentaje 2 2" xfId="430" xr:uid="{00000000-0005-0000-0000-0000F6100000}"/>
    <cellStyle name="Porcentaje 3" xfId="248" xr:uid="{00000000-0005-0000-0000-0000F7100000}"/>
    <cellStyle name="Porcentaje 3 2" xfId="4513" xr:uid="{5D8F450C-9FBF-4C04-BDDD-7459CD04E4F1}"/>
    <cellStyle name="Porcentaje 4" xfId="4605" xr:uid="{228920DF-5E35-4C80-AC81-19C858C112CE}"/>
    <cellStyle name="Porcentual 2" xfId="18" xr:uid="{00000000-0005-0000-0000-0000F8100000}"/>
    <cellStyle name="Porcentual 2 2" xfId="4412" xr:uid="{DFBE435D-2981-4D56-9B27-3C50B92345F9}"/>
    <cellStyle name="Porcentual 2 3" xfId="4379" xr:uid="{200BE1A7-4889-4FE5-B4E8-D6BC7BFA0105}"/>
    <cellStyle name="Porcentual 3" xfId="19" xr:uid="{00000000-0005-0000-0000-0000F9100000}"/>
    <cellStyle name="Porcentual 3 2" xfId="4394" xr:uid="{FDBE9461-0BA6-45EC-B59B-2E51776DE768}"/>
    <cellStyle name="Protected" xfId="249" xr:uid="{00000000-0005-0000-0000-0000FA100000}"/>
    <cellStyle name="PSChar" xfId="250" xr:uid="{00000000-0005-0000-0000-0000FB100000}"/>
    <cellStyle name="PSDate" xfId="251" xr:uid="{00000000-0005-0000-0000-0000FC100000}"/>
    <cellStyle name="PSDec" xfId="252" xr:uid="{00000000-0005-0000-0000-0000FD100000}"/>
    <cellStyle name="PSHeading" xfId="253" xr:uid="{00000000-0005-0000-0000-0000FE100000}"/>
    <cellStyle name="PSHeading 2" xfId="4796" xr:uid="{425FC160-3973-4816-BB93-D357534A5B59}"/>
    <cellStyle name="PSHeading 2 2" xfId="4897" xr:uid="{74F28B14-C2DA-4D7B-8A3C-30E8BB23A0F1}"/>
    <cellStyle name="PSHeading 2 3" xfId="5182" xr:uid="{8413FF72-104A-40AB-90F1-1030913C63EA}"/>
    <cellStyle name="PSHeading 3" xfId="4606" xr:uid="{1F074FB0-DF53-447C-90FF-17ECAF3B6849}"/>
    <cellStyle name="PSHeading 4" xfId="4984" xr:uid="{C4F2EE2D-416F-49D6-B537-B4F29699D1C6}"/>
    <cellStyle name="PSInt" xfId="254" xr:uid="{00000000-0005-0000-0000-0000FF100000}"/>
    <cellStyle name="PSSpacer" xfId="255" xr:uid="{00000000-0005-0000-0000-000000110000}"/>
    <cellStyle name="Punto" xfId="256" xr:uid="{00000000-0005-0000-0000-000001110000}"/>
    <cellStyle name="Punto0" xfId="257" xr:uid="{00000000-0005-0000-0000-000002110000}"/>
    <cellStyle name="Punto0 - Estilo1" xfId="258" xr:uid="{00000000-0005-0000-0000-000003110000}"/>
    <cellStyle name="Punto0 - Estilo3" xfId="259" xr:uid="{00000000-0005-0000-0000-000004110000}"/>
    <cellStyle name="Punto0 - Estilo4" xfId="260" xr:uid="{00000000-0005-0000-0000-000005110000}"/>
    <cellStyle name="Punto0_11 OR AT 2006 Payback S A al 31 12 05 (Definitivo) al 24.01.06" xfId="261" xr:uid="{00000000-0005-0000-0000-000006110000}"/>
    <cellStyle name="Punto1 - Estilo1" xfId="262" xr:uid="{00000000-0005-0000-0000-000007110000}"/>
    <cellStyle name="Standard_FORMA-1" xfId="263" xr:uid="{00000000-0005-0000-0000-000009110000}"/>
    <cellStyle name="Style 1" xfId="264" xr:uid="{00000000-0005-0000-0000-00000A110000}"/>
    <cellStyle name="Style 2" xfId="265" xr:uid="{00000000-0005-0000-0000-00000B110000}"/>
    <cellStyle name="subgroup" xfId="266" xr:uid="{00000000-0005-0000-0000-00000C110000}"/>
    <cellStyle name="SubHead" xfId="267" xr:uid="{00000000-0005-0000-0000-00000D110000}"/>
    <cellStyle name="Subtotal" xfId="268" xr:uid="{00000000-0005-0000-0000-00000E110000}"/>
    <cellStyle name="Tickmark" xfId="269" xr:uid="{00000000-0005-0000-0000-000011110000}"/>
    <cellStyle name="Title" xfId="4355" builtinId="15" customBuiltin="1"/>
    <cellStyle name="Title 2" xfId="270" xr:uid="{00000000-0005-0000-0000-000012110000}"/>
    <cellStyle name="Título 4" xfId="343" xr:uid="{00000000-0005-0000-0000-000016110000}"/>
    <cellStyle name="Título 5" xfId="55" xr:uid="{00000000-0005-0000-0000-000017110000}"/>
    <cellStyle name="Total" xfId="36" builtinId="25" customBuiltin="1"/>
    <cellStyle name="Total 2" xfId="4386" xr:uid="{1A67B769-1B75-4F3C-8283-AD7D22C1A0D3}"/>
    <cellStyle name="Total 2 2" xfId="4399" xr:uid="{3C95CA9E-8F55-4FB5-972E-B804AC1F08B0}"/>
    <cellStyle name="Total 2 2 2" xfId="4434" xr:uid="{429E38EE-4FE7-46FA-9B1F-46A63CD49293}"/>
    <cellStyle name="Total 2 2 2 2" xfId="4474" xr:uid="{2BC7A3BC-6230-4ABE-9E88-A4452B1490B3}"/>
    <cellStyle name="Total 2 2 2 2 2" xfId="4671" xr:uid="{AFF99B1D-5604-4852-9BA8-9EECD23724CF}"/>
    <cellStyle name="Total 2 2 2 2 3" xfId="4481" xr:uid="{4C28D9F4-83B7-442F-93BE-04A43282E761}"/>
    <cellStyle name="Total 2 2 2 2 3 2" xfId="4677" xr:uid="{8FF2A852-6048-43F4-AEE8-9E6DA67C693E}"/>
    <cellStyle name="Total 2 2 2 2 4" xfId="4496" xr:uid="{376C0968-CD7E-4F61-A808-7630BBE864D3}"/>
    <cellStyle name="Total 2 2 2 2 4 2" xfId="4692" xr:uid="{8BF0F241-7255-462E-A888-7644A6ED88C0}"/>
    <cellStyle name="Total 2 2 2 3" xfId="4449" xr:uid="{3666B7B9-9070-4EDF-B267-158036E75F2E}"/>
    <cellStyle name="Total 2 2 2 3 2" xfId="4482" xr:uid="{A0928FF9-56DD-4948-AAAF-C1F1D278E6CD}"/>
    <cellStyle name="Total 2 2 2 3 2 2" xfId="4678" xr:uid="{DDEAAC69-93C5-442C-BDAF-7A875950D220}"/>
    <cellStyle name="Total 2 2 2 3 3" xfId="4497" xr:uid="{9297D691-0B90-49E3-B717-047E1279335C}"/>
    <cellStyle name="Total 2 2 2 3 3 2" xfId="4693" xr:uid="{BF802803-139F-49E2-806C-0E39B40D817F}"/>
    <cellStyle name="Total 2 2 2 3 4" xfId="4664" xr:uid="{2E5513A2-9CB9-4E16-A987-BD56AF5DCAC7}"/>
    <cellStyle name="Total 2 2 2 4" xfId="4658" xr:uid="{C07EEC4D-6100-4429-B53A-C987CB058E9C}"/>
    <cellStyle name="Total 2 2 3" xfId="4453" xr:uid="{4350767E-A420-430C-8B97-709DD1EB128F}"/>
    <cellStyle name="Total 2 2 3 2" xfId="4483" xr:uid="{486E6767-E47A-47EC-9245-FCD68DED3ECB}"/>
    <cellStyle name="Total 2 2 3 2 2" xfId="4679" xr:uid="{B2AFF1D2-E11A-466C-B1B3-3B2CAD504CEE}"/>
    <cellStyle name="Total 2 2 3 3" xfId="4498" xr:uid="{2F6BD241-69EE-4844-99E5-D44D93277B65}"/>
    <cellStyle name="Total 2 2 3 3 2" xfId="4694" xr:uid="{00A413E9-145E-46D8-9B90-5D50730CFB1F}"/>
    <cellStyle name="Total 2 2 3 4" xfId="4668" xr:uid="{CCF3AFE0-C5D2-4CE9-9816-69E3731F40E7}"/>
    <cellStyle name="Total 2 2 4" xfId="4633" xr:uid="{2EF4E2D5-7BCA-4636-85A9-803A80B6EFFD}"/>
    <cellStyle name="Total 2 3" xfId="4400" xr:uid="{86ECE216-11EA-4609-859D-5C039615124A}"/>
    <cellStyle name="Total 2 3 2" xfId="4435" xr:uid="{6D3CB9CB-ACF0-421B-9729-E7486926EE60}"/>
    <cellStyle name="Total 2 3 2 2" xfId="4475" xr:uid="{9048EFAC-ECED-407F-902A-CFC0B99873B8}"/>
    <cellStyle name="Total 2 3 2 2 2" xfId="4672" xr:uid="{762D9282-6DDF-403B-BBF8-E4D1AD779B79}"/>
    <cellStyle name="Total 2 3 2 2 3" xfId="4484" xr:uid="{03AF57E1-A8A4-478D-B88C-680D5A1B2916}"/>
    <cellStyle name="Total 2 3 2 2 3 2" xfId="4680" xr:uid="{F093BBBA-D4A1-436E-91C6-D4E3CF7D226D}"/>
    <cellStyle name="Total 2 3 2 2 4" xfId="4499" xr:uid="{66B8B5C8-C89C-47F3-A62B-6AB899912BF7}"/>
    <cellStyle name="Total 2 3 2 2 4 2" xfId="4695" xr:uid="{5E349990-7069-4FF6-89A7-8226C92AB4E8}"/>
    <cellStyle name="Total 2 3 2 3" xfId="4452" xr:uid="{EB36C166-245F-44D8-99C9-82746BB79D66}"/>
    <cellStyle name="Total 2 3 2 3 2" xfId="4485" xr:uid="{B1DE937E-7685-467E-B2E7-3E4B9F89732E}"/>
    <cellStyle name="Total 2 3 2 3 2 2" xfId="4681" xr:uid="{E73541ED-DDB2-48EF-A14C-BB8692951D0D}"/>
    <cellStyle name="Total 2 3 2 3 3" xfId="4500" xr:uid="{F33F2766-AD23-4382-806C-0A073EF9B36D}"/>
    <cellStyle name="Total 2 3 2 3 3 2" xfId="4696" xr:uid="{33ADCA7C-C6F5-4F9E-B347-73658E840FCF}"/>
    <cellStyle name="Total 2 3 2 3 4" xfId="4667" xr:uid="{38E7E35B-A767-4DEB-B98B-89AC11A0B470}"/>
    <cellStyle name="Total 2 3 2 4" xfId="4659" xr:uid="{E728BD72-6EA2-4E7F-861E-46100F77BE59}"/>
    <cellStyle name="Total 2 3 3" xfId="4451" xr:uid="{266E99A9-5D21-41E0-A620-4014AC18C8C1}"/>
    <cellStyle name="Total 2 3 3 2" xfId="4486" xr:uid="{E899C5FA-E7FA-43C1-A3B1-2B9B2E38E91B}"/>
    <cellStyle name="Total 2 3 3 2 2" xfId="4682" xr:uid="{D2C5B6CE-5E03-4188-BB3F-0CF78A6FD100}"/>
    <cellStyle name="Total 2 3 3 3" xfId="4501" xr:uid="{377465E4-D3DC-4D40-9148-9F158870A139}"/>
    <cellStyle name="Total 2 3 3 3 2" xfId="4697" xr:uid="{8D217EFD-62E4-49FC-801E-9851D068DE33}"/>
    <cellStyle name="Total 2 3 3 4" xfId="4666" xr:uid="{DB3EA0E6-EFFE-41EF-9FD0-C9F6D7E18A2F}"/>
    <cellStyle name="Total 2 3 4" xfId="4634" xr:uid="{A0E3BC45-C4D0-4A37-A79A-6941A46D20C9}"/>
    <cellStyle name="Total 2 4" xfId="4424" xr:uid="{EABD4EE4-178E-4AF3-B2B4-A48E48BBE72F}"/>
    <cellStyle name="Total 2 4 2" xfId="4443" xr:uid="{AA437423-CB8C-4B80-8440-73C8E9D702D1}"/>
    <cellStyle name="Total 2 4 2 2" xfId="4477" xr:uid="{5992C4A1-F2A8-4C56-9531-7213FD30B843}"/>
    <cellStyle name="Total 2 4 2 2 2" xfId="4674" xr:uid="{D0DD870A-0704-47F1-AC0E-A5C702996922}"/>
    <cellStyle name="Total 2 4 2 2 3" xfId="4487" xr:uid="{7D22271F-466F-4EA2-9F35-D150F2596C14}"/>
    <cellStyle name="Total 2 4 2 2 3 2" xfId="4683" xr:uid="{42BC1888-8A91-4C8A-8778-D89F0611243A}"/>
    <cellStyle name="Total 2 4 2 2 4" xfId="4502" xr:uid="{BE1F201F-3FC0-4BF8-939C-EC68B4B2BF64}"/>
    <cellStyle name="Total 2 4 2 2 4 2" xfId="4698" xr:uid="{679CEF75-30B2-42B4-BF6A-21A169148586}"/>
    <cellStyle name="Total 2 4 2 3" xfId="4479" xr:uid="{7FFBA258-3C21-41B3-9D2C-6BEC5BFDE3E8}"/>
    <cellStyle name="Total 2 4 2 3 2" xfId="4488" xr:uid="{591AE20E-EA5E-4DB8-9847-854DB0735508}"/>
    <cellStyle name="Total 2 4 2 3 2 2" xfId="4684" xr:uid="{3382041F-3FF5-4751-8DE6-EEC519737F0D}"/>
    <cellStyle name="Total 2 4 2 3 3" xfId="4503" xr:uid="{1E9B9C51-2F44-494C-A336-BE7C36C30EBE}"/>
    <cellStyle name="Total 2 4 2 3 3 2" xfId="4699" xr:uid="{D2BAA961-0BC8-4318-A75F-D3CE2038A245}"/>
    <cellStyle name="Total 2 4 2 3 4" xfId="4676" xr:uid="{36B7E965-A0B0-4E30-AD61-B363649CEE02}"/>
    <cellStyle name="Total 2 4 2 4" xfId="4661" xr:uid="{10A4538A-FED3-49FD-85D5-D1DCFD12A5DB}"/>
    <cellStyle name="Total 2 4 3" xfId="4450" xr:uid="{78942EC3-F515-479D-9582-194897FBD63B}"/>
    <cellStyle name="Total 2 4 3 2" xfId="4489" xr:uid="{53F6E7DB-6AB9-41E9-BD0B-835312A02911}"/>
    <cellStyle name="Total 2 4 3 2 2" xfId="4685" xr:uid="{D5D3324A-45DD-4ABE-9B88-C71E36795503}"/>
    <cellStyle name="Total 2 4 3 3" xfId="4504" xr:uid="{0AAE3275-A249-40CE-B192-9AE9DD346FC3}"/>
    <cellStyle name="Total 2 4 3 3 2" xfId="4700" xr:uid="{537DD765-0D5C-4E81-8D46-90BE3EB466A2}"/>
    <cellStyle name="Total 2 4 3 4" xfId="4665" xr:uid="{A5562972-AF1D-4FFF-87D5-08DA54564198}"/>
    <cellStyle name="Total 2 4 4" xfId="4655" xr:uid="{1295C733-F6DE-4B65-AB28-40139BCD8057}"/>
    <cellStyle name="Total 2 5" xfId="4401" xr:uid="{4B4EA25E-7584-4286-A83F-E2D0F6C7A30C}"/>
    <cellStyle name="Total 2 5 2" xfId="4436" xr:uid="{1CBD623F-1B6D-4368-87EB-98FFE9FCCF24}"/>
    <cellStyle name="Total 2 5 2 2" xfId="4476" xr:uid="{EA27D6BF-23D9-4691-A409-1EE8B6B8067E}"/>
    <cellStyle name="Total 2 5 2 2 2" xfId="4673" xr:uid="{89AC31C4-F5E9-488C-8BB7-ACE488A96704}"/>
    <cellStyle name="Total 2 5 2 2 3" xfId="4490" xr:uid="{90D9778F-0291-4069-BE8A-519E19726D12}"/>
    <cellStyle name="Total 2 5 2 2 3 2" xfId="4686" xr:uid="{01F1872F-9D36-4DF9-BDB6-EBF09FD3F63D}"/>
    <cellStyle name="Total 2 5 2 2 4" xfId="4505" xr:uid="{6409F42E-B835-4DD4-9397-1E0CC13FA73E}"/>
    <cellStyle name="Total 2 5 2 2 4 2" xfId="4701" xr:uid="{FF8AB6FB-B645-4830-BD5D-8B5EEC85A17E}"/>
    <cellStyle name="Total 2 5 2 3" xfId="4447" xr:uid="{FEC70A18-5FAA-4F5B-935B-6DF8137400BA}"/>
    <cellStyle name="Total 2 5 2 3 2" xfId="4491" xr:uid="{5A41FBF0-B656-4ECA-BE1A-BCACBD8A4BC3}"/>
    <cellStyle name="Total 2 5 2 3 2 2" xfId="4687" xr:uid="{3F6E432C-B8E6-4A4E-B25F-F0C9E563C20E}"/>
    <cellStyle name="Total 2 5 2 3 3" xfId="4506" xr:uid="{B96F70FE-C273-4C77-8DE9-727B07D5C729}"/>
    <cellStyle name="Total 2 5 2 3 3 2" xfId="4702" xr:uid="{6A5F4993-7E17-4C11-942F-339CC5A031FE}"/>
    <cellStyle name="Total 2 5 2 3 4" xfId="4662" xr:uid="{34B6B3C1-079F-4A34-A840-61E1CF2ECE8A}"/>
    <cellStyle name="Total 2 5 2 4" xfId="4660" xr:uid="{80016E0F-7C4B-4270-8166-5DEE5733B694}"/>
    <cellStyle name="Total 2 5 3" xfId="4473" xr:uid="{DDFB02E1-A592-4555-9A2E-344A63BA89EE}"/>
    <cellStyle name="Total 2 5 3 2" xfId="4492" xr:uid="{376E3C5C-045E-4EA4-8113-EC492770C3CA}"/>
    <cellStyle name="Total 2 5 3 2 2" xfId="4688" xr:uid="{9C9552E5-FA2F-42E5-8067-F1DFF49B9AF9}"/>
    <cellStyle name="Total 2 5 3 3" xfId="4507" xr:uid="{0CF6FC09-12FB-4FA5-A4F1-D722BB59E10D}"/>
    <cellStyle name="Total 2 5 3 3 2" xfId="4703" xr:uid="{CF4768C5-8FBE-4A9B-B629-591B20105651}"/>
    <cellStyle name="Total 2 5 3 4" xfId="4670" xr:uid="{60E1B064-9291-441E-A9E1-1B81551E98AE}"/>
    <cellStyle name="Total 2 5 4" xfId="4635" xr:uid="{337C5852-C731-460E-BCD7-44285F77A142}"/>
    <cellStyle name="Total 2 6" xfId="4432" xr:uid="{7A93B950-5B79-4FA8-A684-25CF28F45259}"/>
    <cellStyle name="Total 2 6 2" xfId="4472" xr:uid="{BE15FFA9-0353-4689-8F2A-441D8797D6EE}"/>
    <cellStyle name="Total 2 6 2 2" xfId="4669" xr:uid="{C9C1D13E-AB5D-44B2-9E70-3AE66440AA73}"/>
    <cellStyle name="Total 2 6 2 3" xfId="4493" xr:uid="{A379C927-D0AB-4A31-A7AD-5D8B38D4CA6D}"/>
    <cellStyle name="Total 2 6 2 3 2" xfId="4689" xr:uid="{9EFEA28C-0AE4-4DB9-B6ED-0B450C5B2674}"/>
    <cellStyle name="Total 2 6 2 4" xfId="4508" xr:uid="{FD631A01-CE03-426E-A335-922D30459F31}"/>
    <cellStyle name="Total 2 6 2 4 2" xfId="4704" xr:uid="{DE3623F3-D6FA-4CA8-99CB-130B09273AE3}"/>
    <cellStyle name="Total 2 6 3" xfId="4448" xr:uid="{ABFF012F-BD76-440E-A94D-49525A4EFC23}"/>
    <cellStyle name="Total 2 6 3 2" xfId="4494" xr:uid="{D3358A8B-49C6-4FB8-8FF0-93328F219CBA}"/>
    <cellStyle name="Total 2 6 3 2 2" xfId="4690" xr:uid="{34CCD2C8-9B8C-4913-BB34-5C8C428A7904}"/>
    <cellStyle name="Total 2 6 3 3" xfId="4509" xr:uid="{F5C414D8-9D6A-4CD2-B3A2-21F551C4AE72}"/>
    <cellStyle name="Total 2 6 3 3 2" xfId="4705" xr:uid="{999E4741-E9F9-4904-BAE4-EED227D38176}"/>
    <cellStyle name="Total 2 6 3 4" xfId="4663" xr:uid="{2A8AA3D6-87F9-4DC6-8596-5F80B92BD093}"/>
    <cellStyle name="Total 2 6 4" xfId="4657" xr:uid="{C72CD0B2-3828-4A2D-83D8-7BFEF4699DC3}"/>
    <cellStyle name="Total 2 7" xfId="4478" xr:uid="{0FC9F770-CA70-40C7-83D1-5B2B0EEC0359}"/>
    <cellStyle name="Total 2 7 2" xfId="4495" xr:uid="{87CDD473-DD43-4418-AA4D-7908965FDA5A}"/>
    <cellStyle name="Total 2 7 2 2" xfId="4691" xr:uid="{5524E336-A2F7-49E7-B082-E9B657518019}"/>
    <cellStyle name="Total 2 7 3" xfId="4510" xr:uid="{DEC4833F-014D-4489-88D3-FE1F5F733FCB}"/>
    <cellStyle name="Total 2 7 3 2" xfId="4706" xr:uid="{E9D733C1-A7B3-4B65-A100-C8ADC434A962}"/>
    <cellStyle name="Total 2 7 4" xfId="4675" xr:uid="{2563061D-6824-4157-85FB-2B04AEFA9577}"/>
    <cellStyle name="Total 2 8" xfId="4623" xr:uid="{BA47AB09-ADEA-4BAD-82E4-76F7F3CFB160}"/>
    <cellStyle name="Tusental (0)_pldt" xfId="271" xr:uid="{00000000-0005-0000-0000-000019110000}"/>
    <cellStyle name="Tusental_pldt" xfId="272" xr:uid="{00000000-0005-0000-0000-00001A110000}"/>
    <cellStyle name="Valuta (0)_pldt" xfId="273" xr:uid="{00000000-0005-0000-0000-00001B110000}"/>
    <cellStyle name="Valuta_pldt" xfId="274" xr:uid="{00000000-0005-0000-0000-00001C110000}"/>
    <cellStyle name="Währung [0]_FBA-6" xfId="275" xr:uid="{00000000-0005-0000-0000-00001D110000}"/>
    <cellStyle name="Währung_FBA-6" xfId="276" xr:uid="{00000000-0005-0000-0000-00001E110000}"/>
    <cellStyle name="Warning Text" xfId="33" builtinId="11" customBuiltin="1"/>
    <cellStyle name="Warning Text 2" xfId="277" xr:uid="{00000000-0005-0000-0000-00001F110000}"/>
    <cellStyle name="XComma" xfId="278" xr:uid="{00000000-0005-0000-0000-000021110000}"/>
    <cellStyle name="XComma 0.0" xfId="279" xr:uid="{00000000-0005-0000-0000-000022110000}"/>
    <cellStyle name="XComma 0.00" xfId="280" xr:uid="{00000000-0005-0000-0000-000023110000}"/>
    <cellStyle name="XComma 0.000" xfId="281" xr:uid="{00000000-0005-0000-0000-000024110000}"/>
    <cellStyle name="XCurrency" xfId="282" xr:uid="{00000000-0005-0000-0000-000025110000}"/>
    <cellStyle name="XCurrency 0.0" xfId="283" xr:uid="{00000000-0005-0000-0000-000026110000}"/>
    <cellStyle name="XCurrency 0.00" xfId="284" xr:uid="{00000000-0005-0000-0000-000027110000}"/>
    <cellStyle name="XCurrency 0.000" xfId="285" xr:uid="{00000000-0005-0000-0000-000028110000}"/>
  </cellStyles>
  <dxfs count="0"/>
  <tableStyles count="0" defaultTableStyle="TableStyleMedium2" defaultPivotStyle="PivotStyleLight16"/>
  <colors>
    <mruColors>
      <color rgb="FFE1ECF7"/>
      <color rgb="FF83BC5C"/>
      <color rgb="FFD4E5F4"/>
      <color rgb="FFECF3FA"/>
      <color rgb="FF24B4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8" Type="http://schemas.openxmlformats.org/officeDocument/2006/relationships/hyperlink" Target="#'Non-Operating Income'!A1"/><Relationship Id="rId3" Type="http://schemas.openxmlformats.org/officeDocument/2006/relationships/hyperlink" Target="#PPAs!A1"/><Relationship Id="rId7" Type="http://schemas.openxmlformats.org/officeDocument/2006/relationships/hyperlink" Target="#'Operating Income'!A1"/><Relationship Id="rId12" Type="http://schemas.openxmlformats.org/officeDocument/2006/relationships/hyperlink" Target="#'Cash Flow'!A1"/><Relationship Id="rId2" Type="http://schemas.openxmlformats.org/officeDocument/2006/relationships/hyperlink" Target="#'Installed Capacity'!A1"/><Relationship Id="rId1" Type="http://schemas.openxmlformats.org/officeDocument/2006/relationships/image" Target="../media/image1.png"/><Relationship Id="rId6" Type="http://schemas.openxmlformats.org/officeDocument/2006/relationships/hyperlink" Target="#'Income Statement'!A1"/><Relationship Id="rId11" Type="http://schemas.openxmlformats.org/officeDocument/2006/relationships/hyperlink" Target="#'Amortization Profile'!A1"/><Relationship Id="rId5" Type="http://schemas.openxmlformats.org/officeDocument/2006/relationships/hyperlink" Target="#'Physical Sales &amp; Gx.'!A1"/><Relationship Id="rId10" Type="http://schemas.openxmlformats.org/officeDocument/2006/relationships/image" Target="../media/image2.png"/><Relationship Id="rId4" Type="http://schemas.openxmlformats.org/officeDocument/2006/relationships/hyperlink" Target="#'Balance Sheet'!A1"/><Relationship Id="rId9" Type="http://schemas.openxmlformats.org/officeDocument/2006/relationships/hyperlink" Target="#'Main Debt Items'!A1"/></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640721</xdr:colOff>
      <xdr:row>37</xdr:row>
      <xdr:rowOff>105724</xdr:rowOff>
    </xdr:to>
    <xdr:pic>
      <xdr:nvPicPr>
        <xdr:cNvPr id="16" name="Picture 15">
          <a:extLst>
            <a:ext uri="{FF2B5EF4-FFF2-40B4-BE49-F238E27FC236}">
              <a16:creationId xmlns:a16="http://schemas.microsoft.com/office/drawing/2014/main" id="{D7FBBE6C-13C3-6466-23BB-30FC9832A2C8}"/>
            </a:ext>
          </a:extLst>
        </xdr:cNvPr>
        <xdr:cNvPicPr>
          <a:picLocks noChangeAspect="1"/>
        </xdr:cNvPicPr>
      </xdr:nvPicPr>
      <xdr:blipFill>
        <a:blip xmlns:r="http://schemas.openxmlformats.org/officeDocument/2006/relationships" r:embed="rId1"/>
        <a:stretch>
          <a:fillRect/>
        </a:stretch>
      </xdr:blipFill>
      <xdr:spPr>
        <a:xfrm>
          <a:off x="0" y="0"/>
          <a:ext cx="18242921" cy="6801799"/>
        </a:xfrm>
        <a:prstGeom prst="rect">
          <a:avLst/>
        </a:prstGeom>
      </xdr:spPr>
    </xdr:pic>
    <xdr:clientData/>
  </xdr:twoCellAnchor>
  <xdr:twoCellAnchor>
    <xdr:from>
      <xdr:col>0</xdr:col>
      <xdr:colOff>581024</xdr:colOff>
      <xdr:row>8</xdr:row>
      <xdr:rowOff>1</xdr:rowOff>
    </xdr:from>
    <xdr:to>
      <xdr:col>5</xdr:col>
      <xdr:colOff>152399</xdr:colOff>
      <xdr:row>9</xdr:row>
      <xdr:rowOff>38101</xdr:rowOff>
    </xdr:to>
    <xdr:sp macro="[0]!Macro1" textlink="">
      <xdr:nvSpPr>
        <xdr:cNvPr id="2" name="Rectángulo: esquinas redondeadas 1">
          <a:hlinkClick xmlns:r="http://schemas.openxmlformats.org/officeDocument/2006/relationships" r:id="rId2"/>
          <a:extLst>
            <a:ext uri="{FF2B5EF4-FFF2-40B4-BE49-F238E27FC236}">
              <a16:creationId xmlns:a16="http://schemas.microsoft.com/office/drawing/2014/main" id="{80C19A50-DAE2-EED8-4F3B-B5C2E0DB3ADE}"/>
            </a:ext>
          </a:extLst>
        </xdr:cNvPr>
        <xdr:cNvSpPr/>
      </xdr:nvSpPr>
      <xdr:spPr>
        <a:xfrm>
          <a:off x="581024" y="1524001"/>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r>
            <a:rPr lang="es-CL" sz="1100" baseline="0">
              <a:solidFill>
                <a:schemeClr val="tx1">
                  <a:lumMod val="65000"/>
                  <a:lumOff val="35000"/>
                </a:schemeClr>
              </a:solidFill>
              <a:latin typeface="Trebuchet MS" panose="020B0603020202020204" pitchFamily="34" charset="0"/>
              <a:ea typeface="+mn-ea"/>
              <a:cs typeface="+mn-cs"/>
            </a:rPr>
            <a:t>Installed Capacity</a:t>
          </a:r>
        </a:p>
      </xdr:txBody>
    </xdr:sp>
    <xdr:clientData/>
  </xdr:twoCellAnchor>
  <xdr:twoCellAnchor>
    <xdr:from>
      <xdr:col>0</xdr:col>
      <xdr:colOff>590549</xdr:colOff>
      <xdr:row>9</xdr:row>
      <xdr:rowOff>152401</xdr:rowOff>
    </xdr:from>
    <xdr:to>
      <xdr:col>5</xdr:col>
      <xdr:colOff>161924</xdr:colOff>
      <xdr:row>11</xdr:row>
      <xdr:rowOff>1</xdr:rowOff>
    </xdr:to>
    <xdr:sp macro="[0]!Macro2" textlink="">
      <xdr:nvSpPr>
        <xdr:cNvPr id="4" name="Rectángulo: esquinas redondeadas 3">
          <a:hlinkClick xmlns:r="http://schemas.openxmlformats.org/officeDocument/2006/relationships" r:id="rId3"/>
          <a:extLst>
            <a:ext uri="{FF2B5EF4-FFF2-40B4-BE49-F238E27FC236}">
              <a16:creationId xmlns:a16="http://schemas.microsoft.com/office/drawing/2014/main" id="{1964AF5C-99AC-49D5-BEB7-B4DFA876DAAF}"/>
            </a:ext>
          </a:extLst>
        </xdr:cNvPr>
        <xdr:cNvSpPr/>
      </xdr:nvSpPr>
      <xdr:spPr>
        <a:xfrm>
          <a:off x="590549" y="1866901"/>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 PPAs</a:t>
          </a:r>
        </a:p>
      </xdr:txBody>
    </xdr:sp>
    <xdr:clientData/>
  </xdr:twoCellAnchor>
  <xdr:twoCellAnchor>
    <xdr:from>
      <xdr:col>0</xdr:col>
      <xdr:colOff>600074</xdr:colOff>
      <xdr:row>18</xdr:row>
      <xdr:rowOff>161926</xdr:rowOff>
    </xdr:from>
    <xdr:to>
      <xdr:col>5</xdr:col>
      <xdr:colOff>171449</xdr:colOff>
      <xdr:row>20</xdr:row>
      <xdr:rowOff>9526</xdr:rowOff>
    </xdr:to>
    <xdr:sp macro="[0]!Macro7" textlink="">
      <xdr:nvSpPr>
        <xdr:cNvPr id="5" name="Rectángulo: esquinas redondeadas 4">
          <a:hlinkClick xmlns:r="http://schemas.openxmlformats.org/officeDocument/2006/relationships" r:id="rId4"/>
          <a:extLst>
            <a:ext uri="{FF2B5EF4-FFF2-40B4-BE49-F238E27FC236}">
              <a16:creationId xmlns:a16="http://schemas.microsoft.com/office/drawing/2014/main" id="{4F9CB2F7-5C29-47C1-9992-474913E8EFE5}"/>
            </a:ext>
          </a:extLst>
        </xdr:cNvPr>
        <xdr:cNvSpPr/>
      </xdr:nvSpPr>
      <xdr:spPr>
        <a:xfrm>
          <a:off x="600074" y="3590926"/>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Balance Sheet</a:t>
          </a:r>
        </a:p>
      </xdr:txBody>
    </xdr:sp>
    <xdr:clientData/>
  </xdr:twoCellAnchor>
  <xdr:twoCellAnchor>
    <xdr:from>
      <xdr:col>0</xdr:col>
      <xdr:colOff>571499</xdr:colOff>
      <xdr:row>11</xdr:row>
      <xdr:rowOff>104776</xdr:rowOff>
    </xdr:from>
    <xdr:to>
      <xdr:col>5</xdr:col>
      <xdr:colOff>142874</xdr:colOff>
      <xdr:row>12</xdr:row>
      <xdr:rowOff>142876</xdr:rowOff>
    </xdr:to>
    <xdr:sp macro="[0]!Macro3" textlink="">
      <xdr:nvSpPr>
        <xdr:cNvPr id="6" name="Rectángulo: esquinas redondeadas 5">
          <a:hlinkClick xmlns:r="http://schemas.openxmlformats.org/officeDocument/2006/relationships" r:id="rId5"/>
          <a:extLst>
            <a:ext uri="{FF2B5EF4-FFF2-40B4-BE49-F238E27FC236}">
              <a16:creationId xmlns:a16="http://schemas.microsoft.com/office/drawing/2014/main" id="{8430316C-3BBD-4566-AE05-6B30A3827A55}"/>
            </a:ext>
          </a:extLst>
        </xdr:cNvPr>
        <xdr:cNvSpPr/>
      </xdr:nvSpPr>
      <xdr:spPr>
        <a:xfrm>
          <a:off x="571499" y="2200276"/>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Physical Sales &amp; Gx</a:t>
          </a:r>
        </a:p>
      </xdr:txBody>
    </xdr:sp>
    <xdr:clientData/>
  </xdr:twoCellAnchor>
  <xdr:twoCellAnchor>
    <xdr:from>
      <xdr:col>0</xdr:col>
      <xdr:colOff>590549</xdr:colOff>
      <xdr:row>13</xdr:row>
      <xdr:rowOff>66676</xdr:rowOff>
    </xdr:from>
    <xdr:to>
      <xdr:col>5</xdr:col>
      <xdr:colOff>161924</xdr:colOff>
      <xdr:row>14</xdr:row>
      <xdr:rowOff>104776</xdr:rowOff>
    </xdr:to>
    <xdr:sp macro="[0]!Macro4" textlink="">
      <xdr:nvSpPr>
        <xdr:cNvPr id="7" name="Rectángulo: esquinas redondeadas 6">
          <a:hlinkClick xmlns:r="http://schemas.openxmlformats.org/officeDocument/2006/relationships" r:id="rId6"/>
          <a:extLst>
            <a:ext uri="{FF2B5EF4-FFF2-40B4-BE49-F238E27FC236}">
              <a16:creationId xmlns:a16="http://schemas.microsoft.com/office/drawing/2014/main" id="{C2691B72-17AB-432D-AE6A-B545046D686E}"/>
            </a:ext>
          </a:extLst>
        </xdr:cNvPr>
        <xdr:cNvSpPr/>
      </xdr:nvSpPr>
      <xdr:spPr>
        <a:xfrm>
          <a:off x="590549" y="2543176"/>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Income Statement</a:t>
          </a:r>
        </a:p>
      </xdr:txBody>
    </xdr:sp>
    <xdr:clientData/>
  </xdr:twoCellAnchor>
  <xdr:twoCellAnchor>
    <xdr:from>
      <xdr:col>0</xdr:col>
      <xdr:colOff>581024</xdr:colOff>
      <xdr:row>15</xdr:row>
      <xdr:rowOff>9526</xdr:rowOff>
    </xdr:from>
    <xdr:to>
      <xdr:col>5</xdr:col>
      <xdr:colOff>152399</xdr:colOff>
      <xdr:row>16</xdr:row>
      <xdr:rowOff>47626</xdr:rowOff>
    </xdr:to>
    <xdr:sp macro="[0]!Macro5" textlink="">
      <xdr:nvSpPr>
        <xdr:cNvPr id="8" name="Rectángulo: esquinas redondeadas 7">
          <a:hlinkClick xmlns:r="http://schemas.openxmlformats.org/officeDocument/2006/relationships" r:id="rId7"/>
          <a:extLst>
            <a:ext uri="{FF2B5EF4-FFF2-40B4-BE49-F238E27FC236}">
              <a16:creationId xmlns:a16="http://schemas.microsoft.com/office/drawing/2014/main" id="{841BBB58-EFDF-40EB-B638-E31F21CDB7A3}"/>
            </a:ext>
          </a:extLst>
        </xdr:cNvPr>
        <xdr:cNvSpPr/>
      </xdr:nvSpPr>
      <xdr:spPr>
        <a:xfrm>
          <a:off x="581024" y="2867026"/>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Operating Income</a:t>
          </a:r>
        </a:p>
      </xdr:txBody>
    </xdr:sp>
    <xdr:clientData/>
  </xdr:twoCellAnchor>
  <xdr:twoCellAnchor>
    <xdr:from>
      <xdr:col>0</xdr:col>
      <xdr:colOff>590549</xdr:colOff>
      <xdr:row>16</xdr:row>
      <xdr:rowOff>180976</xdr:rowOff>
    </xdr:from>
    <xdr:to>
      <xdr:col>5</xdr:col>
      <xdr:colOff>161924</xdr:colOff>
      <xdr:row>18</xdr:row>
      <xdr:rowOff>28576</xdr:rowOff>
    </xdr:to>
    <xdr:sp macro="[0]!Macro6" textlink="">
      <xdr:nvSpPr>
        <xdr:cNvPr id="9" name="Rectángulo: esquinas redondeadas 8">
          <a:hlinkClick xmlns:r="http://schemas.openxmlformats.org/officeDocument/2006/relationships" r:id="rId8"/>
          <a:extLst>
            <a:ext uri="{FF2B5EF4-FFF2-40B4-BE49-F238E27FC236}">
              <a16:creationId xmlns:a16="http://schemas.microsoft.com/office/drawing/2014/main" id="{F0F91DF8-D18A-4267-9C73-9FCFFD7B610F}"/>
            </a:ext>
          </a:extLst>
        </xdr:cNvPr>
        <xdr:cNvSpPr/>
      </xdr:nvSpPr>
      <xdr:spPr>
        <a:xfrm>
          <a:off x="590549" y="3228976"/>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Non-Operating Income</a:t>
          </a:r>
        </a:p>
      </xdr:txBody>
    </xdr:sp>
    <xdr:clientData/>
  </xdr:twoCellAnchor>
  <xdr:twoCellAnchor>
    <xdr:from>
      <xdr:col>0</xdr:col>
      <xdr:colOff>590549</xdr:colOff>
      <xdr:row>20</xdr:row>
      <xdr:rowOff>114301</xdr:rowOff>
    </xdr:from>
    <xdr:to>
      <xdr:col>5</xdr:col>
      <xdr:colOff>161924</xdr:colOff>
      <xdr:row>21</xdr:row>
      <xdr:rowOff>152401</xdr:rowOff>
    </xdr:to>
    <xdr:sp macro="[0]!Macro8" textlink="">
      <xdr:nvSpPr>
        <xdr:cNvPr id="10" name="Rectángulo: esquinas redondeadas 9">
          <a:hlinkClick xmlns:r="http://schemas.openxmlformats.org/officeDocument/2006/relationships" r:id="rId9"/>
          <a:extLst>
            <a:ext uri="{FF2B5EF4-FFF2-40B4-BE49-F238E27FC236}">
              <a16:creationId xmlns:a16="http://schemas.microsoft.com/office/drawing/2014/main" id="{5CEA5A87-C20E-471A-9E4C-CEC2FB1688EC}"/>
            </a:ext>
          </a:extLst>
        </xdr:cNvPr>
        <xdr:cNvSpPr/>
      </xdr:nvSpPr>
      <xdr:spPr>
        <a:xfrm>
          <a:off x="590549" y="3924301"/>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Main Debt Items</a:t>
          </a:r>
        </a:p>
      </xdr:txBody>
    </xdr:sp>
    <xdr:clientData/>
  </xdr:twoCellAnchor>
  <xdr:twoCellAnchor>
    <xdr:from>
      <xdr:col>0</xdr:col>
      <xdr:colOff>495300</xdr:colOff>
      <xdr:row>0</xdr:row>
      <xdr:rowOff>114300</xdr:rowOff>
    </xdr:from>
    <xdr:to>
      <xdr:col>15</xdr:col>
      <xdr:colOff>95250</xdr:colOff>
      <xdr:row>6</xdr:row>
      <xdr:rowOff>161925</xdr:rowOff>
    </xdr:to>
    <xdr:sp macro="" textlink="">
      <xdr:nvSpPr>
        <xdr:cNvPr id="17" name="CuadroTexto 10">
          <a:extLst>
            <a:ext uri="{FF2B5EF4-FFF2-40B4-BE49-F238E27FC236}">
              <a16:creationId xmlns:a16="http://schemas.microsoft.com/office/drawing/2014/main" id="{B1571970-C272-E91D-625E-73DEF8169359}"/>
            </a:ext>
          </a:extLst>
        </xdr:cNvPr>
        <xdr:cNvSpPr txBox="1"/>
      </xdr:nvSpPr>
      <xdr:spPr>
        <a:xfrm>
          <a:off x="495300" y="114300"/>
          <a:ext cx="11029950" cy="1190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sz="2000" b="1">
            <a:solidFill>
              <a:schemeClr val="bg1"/>
            </a:solidFill>
            <a:latin typeface="Trebuchet MS" panose="020B0603020202020204" pitchFamily="34" charset="0"/>
          </a:endParaRPr>
        </a:p>
        <a:p>
          <a:endParaRPr lang="es-CL" sz="2000" b="1">
            <a:solidFill>
              <a:schemeClr val="bg1"/>
            </a:solidFill>
            <a:latin typeface="Trebuchet MS" panose="020B0603020202020204" pitchFamily="34" charset="0"/>
          </a:endParaRPr>
        </a:p>
        <a:p>
          <a:r>
            <a:rPr lang="es-CL" sz="2000" b="1">
              <a:solidFill>
                <a:schemeClr val="bg1"/>
              </a:solidFill>
              <a:latin typeface="Trebuchet MS" panose="020B0603020202020204" pitchFamily="34" charset="0"/>
            </a:rPr>
            <a:t>Financial</a:t>
          </a:r>
          <a:r>
            <a:rPr lang="es-CL" sz="2000" b="1" baseline="0">
              <a:solidFill>
                <a:schemeClr val="bg1"/>
              </a:solidFill>
              <a:latin typeface="Trebuchet MS" panose="020B0603020202020204" pitchFamily="34" charset="0"/>
            </a:rPr>
            <a:t> Data Chile &amp; Perú 1Q24</a:t>
          </a:r>
          <a:endParaRPr lang="es-CL" sz="2000" b="1">
            <a:solidFill>
              <a:schemeClr val="bg1"/>
            </a:solidFill>
            <a:latin typeface="Trebuchet MS" panose="020B0603020202020204" pitchFamily="34" charset="0"/>
          </a:endParaRPr>
        </a:p>
        <a:p>
          <a:endParaRPr lang="es-CL" sz="3200">
            <a:solidFill>
              <a:srgbClr val="24B40C"/>
            </a:solidFill>
            <a:latin typeface="Trebuchet MS" panose="020B0603020202020204" pitchFamily="34" charset="0"/>
          </a:endParaRPr>
        </a:p>
      </xdr:txBody>
    </xdr:sp>
    <xdr:clientData/>
  </xdr:twoCellAnchor>
  <xdr:twoCellAnchor>
    <xdr:from>
      <xdr:col>0</xdr:col>
      <xdr:colOff>504825</xdr:colOff>
      <xdr:row>6</xdr:row>
      <xdr:rowOff>57150</xdr:rowOff>
    </xdr:from>
    <xdr:to>
      <xdr:col>2</xdr:col>
      <xdr:colOff>19050</xdr:colOff>
      <xdr:row>7</xdr:row>
      <xdr:rowOff>142875</xdr:rowOff>
    </xdr:to>
    <xdr:sp macro="" textlink="">
      <xdr:nvSpPr>
        <xdr:cNvPr id="12" name="CuadroTexto 11">
          <a:extLst>
            <a:ext uri="{FF2B5EF4-FFF2-40B4-BE49-F238E27FC236}">
              <a16:creationId xmlns:a16="http://schemas.microsoft.com/office/drawing/2014/main" id="{22C25DE4-A860-E0A7-9B56-82ED2EAB4267}"/>
            </a:ext>
          </a:extLst>
        </xdr:cNvPr>
        <xdr:cNvSpPr txBox="1"/>
      </xdr:nvSpPr>
      <xdr:spPr>
        <a:xfrm>
          <a:off x="504825" y="1200150"/>
          <a:ext cx="103822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700" b="1">
              <a:solidFill>
                <a:schemeClr val="bg1"/>
              </a:solidFill>
              <a:latin typeface="Trebuchet MS" panose="020B0603020202020204" pitchFamily="34" charset="0"/>
            </a:rPr>
            <a:t>Index</a:t>
          </a:r>
        </a:p>
      </xdr:txBody>
    </xdr:sp>
    <xdr:clientData/>
  </xdr:twoCellAnchor>
  <xdr:twoCellAnchor editAs="oneCell">
    <xdr:from>
      <xdr:col>0</xdr:col>
      <xdr:colOff>447039</xdr:colOff>
      <xdr:row>0</xdr:row>
      <xdr:rowOff>66675</xdr:rowOff>
    </xdr:from>
    <xdr:to>
      <xdr:col>4</xdr:col>
      <xdr:colOff>83694</xdr:colOff>
      <xdr:row>3</xdr:row>
      <xdr:rowOff>141605</xdr:rowOff>
    </xdr:to>
    <xdr:pic>
      <xdr:nvPicPr>
        <xdr:cNvPr id="11" name="Picture 10" descr="Imagen">
          <a:extLst>
            <a:ext uri="{FF2B5EF4-FFF2-40B4-BE49-F238E27FC236}">
              <a16:creationId xmlns:a16="http://schemas.microsoft.com/office/drawing/2014/main" id="{71E8EB55-09E9-4584-B545-8E6D9C86AE9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47039" y="66675"/>
          <a:ext cx="2837055" cy="617855"/>
        </a:xfrm>
        <a:prstGeom prst="rect">
          <a:avLst/>
        </a:prstGeom>
        <a:ln w="12700">
          <a:miter lim="400000"/>
        </a:ln>
      </xdr:spPr>
    </xdr:pic>
    <xdr:clientData/>
  </xdr:twoCellAnchor>
  <xdr:twoCellAnchor>
    <xdr:from>
      <xdr:col>0</xdr:col>
      <xdr:colOff>581025</xdr:colOff>
      <xdr:row>22</xdr:row>
      <xdr:rowOff>76200</xdr:rowOff>
    </xdr:from>
    <xdr:to>
      <xdr:col>5</xdr:col>
      <xdr:colOff>139700</xdr:colOff>
      <xdr:row>23</xdr:row>
      <xdr:rowOff>114300</xdr:rowOff>
    </xdr:to>
    <xdr:sp macro="" textlink="">
      <xdr:nvSpPr>
        <xdr:cNvPr id="3" name="Rectangle: Rounded Corners 2">
          <a:extLst>
            <a:ext uri="{FF2B5EF4-FFF2-40B4-BE49-F238E27FC236}">
              <a16:creationId xmlns:a16="http://schemas.microsoft.com/office/drawing/2014/main" id="{98D55E63-25D1-4803-A303-7F7AFDB03864}"/>
            </a:ext>
          </a:extLst>
        </xdr:cNvPr>
        <xdr:cNvSpPr/>
      </xdr:nvSpPr>
      <xdr:spPr>
        <a:xfrm>
          <a:off x="581025" y="4057650"/>
          <a:ext cx="3559175" cy="219075"/>
        </a:xfrm>
        <a:prstGeom prst="roundRect">
          <a:avLst/>
        </a:prstGeom>
        <a:solidFill>
          <a:srgbClr val="E1ECF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CL" sz="1100" baseline="0">
              <a:solidFill>
                <a:schemeClr val="tx1">
                  <a:lumMod val="65000"/>
                  <a:lumOff val="35000"/>
                </a:schemeClr>
              </a:solidFill>
              <a:latin typeface="Trebuchet MS" panose="020B0603020202020204" pitchFamily="34" charset="0"/>
              <a:ea typeface="+mn-ea"/>
              <a:cs typeface="+mn-cs"/>
            </a:rPr>
            <a:t>Installed Capacity</a:t>
          </a:r>
        </a:p>
      </xdr:txBody>
    </xdr:sp>
    <xdr:clientData/>
  </xdr:twoCellAnchor>
  <xdr:twoCellAnchor>
    <xdr:from>
      <xdr:col>0</xdr:col>
      <xdr:colOff>590550</xdr:colOff>
      <xdr:row>22</xdr:row>
      <xdr:rowOff>82550</xdr:rowOff>
    </xdr:from>
    <xdr:to>
      <xdr:col>5</xdr:col>
      <xdr:colOff>149225</xdr:colOff>
      <xdr:row>23</xdr:row>
      <xdr:rowOff>120650</xdr:rowOff>
    </xdr:to>
    <xdr:sp macro="" textlink="">
      <xdr:nvSpPr>
        <xdr:cNvPr id="13" name="Rectangle: Rounded Corners 12">
          <a:hlinkClick xmlns:r="http://schemas.openxmlformats.org/officeDocument/2006/relationships" r:id="rId11"/>
          <a:extLst>
            <a:ext uri="{FF2B5EF4-FFF2-40B4-BE49-F238E27FC236}">
              <a16:creationId xmlns:a16="http://schemas.microsoft.com/office/drawing/2014/main" id="{7CB1607A-45CA-4012-A1F1-D28349D0EF63}"/>
            </a:ext>
          </a:extLst>
        </xdr:cNvPr>
        <xdr:cNvSpPr/>
      </xdr:nvSpPr>
      <xdr:spPr>
        <a:xfrm>
          <a:off x="590550" y="4064000"/>
          <a:ext cx="3559175" cy="219075"/>
        </a:xfrm>
        <a:prstGeom prst="roundRect">
          <a:avLst/>
        </a:prstGeom>
        <a:solidFill>
          <a:srgbClr val="E1ECF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s-CL" sz="1100" baseline="0">
              <a:solidFill>
                <a:schemeClr val="tx1">
                  <a:lumMod val="65000"/>
                  <a:lumOff val="35000"/>
                </a:schemeClr>
              </a:solidFill>
              <a:latin typeface="Trebuchet MS" panose="020B0603020202020204" pitchFamily="34" charset="0"/>
              <a:ea typeface="+mn-ea"/>
              <a:cs typeface="+mn-cs"/>
            </a:rPr>
            <a:t>Amortization Profile</a:t>
          </a:r>
        </a:p>
      </xdr:txBody>
    </xdr:sp>
    <xdr:clientData/>
  </xdr:twoCellAnchor>
  <xdr:twoCellAnchor>
    <xdr:from>
      <xdr:col>0</xdr:col>
      <xdr:colOff>587375</xdr:colOff>
      <xdr:row>24</xdr:row>
      <xdr:rowOff>38100</xdr:rowOff>
    </xdr:from>
    <xdr:to>
      <xdr:col>5</xdr:col>
      <xdr:colOff>152400</xdr:colOff>
      <xdr:row>25</xdr:row>
      <xdr:rowOff>76200</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68797B09-1A1E-43D2-ADD6-364D8346251A}"/>
            </a:ext>
          </a:extLst>
        </xdr:cNvPr>
        <xdr:cNvSpPr/>
      </xdr:nvSpPr>
      <xdr:spPr>
        <a:xfrm>
          <a:off x="587375" y="4381500"/>
          <a:ext cx="3565525" cy="219075"/>
        </a:xfrm>
        <a:prstGeom prst="roundRect">
          <a:avLst/>
        </a:prstGeom>
        <a:solidFill>
          <a:srgbClr val="E1ECF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s-CL" sz="1100" baseline="0">
              <a:solidFill>
                <a:schemeClr val="tx1">
                  <a:lumMod val="65000"/>
                  <a:lumOff val="35000"/>
                </a:schemeClr>
              </a:solidFill>
              <a:latin typeface="Trebuchet MS" panose="020B0603020202020204" pitchFamily="34" charset="0"/>
              <a:ea typeface="+mn-ea"/>
              <a:cs typeface="+mn-cs"/>
            </a:rPr>
            <a:t>Cash Flow</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52916</xdr:colOff>
      <xdr:row>0</xdr:row>
      <xdr:rowOff>105834</xdr:rowOff>
    </xdr:from>
    <xdr:to>
      <xdr:col>0</xdr:col>
      <xdr:colOff>1484842</xdr:colOff>
      <xdr:row>2</xdr:row>
      <xdr:rowOff>78326</xdr:rowOff>
    </xdr:to>
    <xdr:pic>
      <xdr:nvPicPr>
        <xdr:cNvPr id="4" name="Picture 3" descr="Imagen">
          <a:extLst>
            <a:ext uri="{FF2B5EF4-FFF2-40B4-BE49-F238E27FC236}">
              <a16:creationId xmlns:a16="http://schemas.microsoft.com/office/drawing/2014/main" id="{8D56316F-4364-40F4-BAE3-8BFBC2F52B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916" y="105834"/>
          <a:ext cx="1431926" cy="311159"/>
        </a:xfrm>
        <a:prstGeom prst="rect">
          <a:avLst/>
        </a:prstGeom>
        <a:ln w="12700">
          <a:miter lim="400000"/>
        </a:ln>
      </xdr:spPr>
    </xdr:pic>
    <xdr:clientData/>
  </xdr:twoCellAnchor>
  <xdr:twoCellAnchor>
    <xdr:from>
      <xdr:col>0</xdr:col>
      <xdr:colOff>0</xdr:colOff>
      <xdr:row>10</xdr:row>
      <xdr:rowOff>5475</xdr:rowOff>
    </xdr:from>
    <xdr:to>
      <xdr:col>0</xdr:col>
      <xdr:colOff>1487303</xdr:colOff>
      <xdr:row>13</xdr:row>
      <xdr:rowOff>50692</xdr:rowOff>
    </xdr:to>
    <xdr:grpSp>
      <xdr:nvGrpSpPr>
        <xdr:cNvPr id="13" name="Grupo 3">
          <a:extLst>
            <a:ext uri="{FF2B5EF4-FFF2-40B4-BE49-F238E27FC236}">
              <a16:creationId xmlns:a16="http://schemas.microsoft.com/office/drawing/2014/main" id="{B04F942B-9042-F694-497A-68E3063BE1A0}"/>
            </a:ext>
          </a:extLst>
        </xdr:cNvPr>
        <xdr:cNvGrpSpPr/>
      </xdr:nvGrpSpPr>
      <xdr:grpSpPr>
        <a:xfrm>
          <a:off x="0" y="1784952"/>
          <a:ext cx="1487303" cy="554693"/>
          <a:chOff x="0" y="0"/>
          <a:chExt cx="3496166" cy="1419225"/>
        </a:xfrm>
      </xdr:grpSpPr>
      <xdr:pic>
        <xdr:nvPicPr>
          <xdr:cNvPr id="14" name="Imagen 2">
            <a:extLst>
              <a:ext uri="{FF2B5EF4-FFF2-40B4-BE49-F238E27FC236}">
                <a16:creationId xmlns:a16="http://schemas.microsoft.com/office/drawing/2014/main" id="{455C9E82-5DD2-E358-B1D4-DA51DD58A3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15" name="Imagen 1" descr="Logotipo&#10;&#10;Descripción generada automáticamente">
            <a:extLst>
              <a:ext uri="{FF2B5EF4-FFF2-40B4-BE49-F238E27FC236}">
                <a16:creationId xmlns:a16="http://schemas.microsoft.com/office/drawing/2014/main" id="{6B078B11-79BB-5C84-C07C-A36A8575DB1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63500</xdr:colOff>
      <xdr:row>0</xdr:row>
      <xdr:rowOff>114300</xdr:rowOff>
    </xdr:from>
    <xdr:to>
      <xdr:col>1</xdr:col>
      <xdr:colOff>1492251</xdr:colOff>
      <xdr:row>2</xdr:row>
      <xdr:rowOff>76209</xdr:rowOff>
    </xdr:to>
    <xdr:pic>
      <xdr:nvPicPr>
        <xdr:cNvPr id="2" name="Picture 1" descr="Imagen">
          <a:extLst>
            <a:ext uri="{FF2B5EF4-FFF2-40B4-BE49-F238E27FC236}">
              <a16:creationId xmlns:a16="http://schemas.microsoft.com/office/drawing/2014/main" id="{1B7A16E0-8A46-47E4-AC86-4D46172ABF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00" y="114300"/>
          <a:ext cx="1428751" cy="317509"/>
        </a:xfrm>
        <a:prstGeom prst="rect">
          <a:avLst/>
        </a:prstGeom>
        <a:ln w="12700">
          <a:miter lim="400000"/>
        </a:ln>
      </xdr:spPr>
    </xdr:pic>
    <xdr:clientData/>
  </xdr:twoCellAnchor>
  <xdr:twoCellAnchor>
    <xdr:from>
      <xdr:col>0</xdr:col>
      <xdr:colOff>0</xdr:colOff>
      <xdr:row>18</xdr:row>
      <xdr:rowOff>127000</xdr:rowOff>
    </xdr:from>
    <xdr:to>
      <xdr:col>1</xdr:col>
      <xdr:colOff>1487303</xdr:colOff>
      <xdr:row>22</xdr:row>
      <xdr:rowOff>3979</xdr:rowOff>
    </xdr:to>
    <xdr:grpSp>
      <xdr:nvGrpSpPr>
        <xdr:cNvPr id="5" name="Grupo 3">
          <a:extLst>
            <a:ext uri="{FF2B5EF4-FFF2-40B4-BE49-F238E27FC236}">
              <a16:creationId xmlns:a16="http://schemas.microsoft.com/office/drawing/2014/main" id="{4E14A624-339F-4BB4-AC6D-61B7910D8A12}"/>
            </a:ext>
          </a:extLst>
        </xdr:cNvPr>
        <xdr:cNvGrpSpPr/>
      </xdr:nvGrpSpPr>
      <xdr:grpSpPr>
        <a:xfrm>
          <a:off x="0" y="3106057"/>
          <a:ext cx="1487303" cy="563686"/>
          <a:chOff x="0" y="0"/>
          <a:chExt cx="3496166" cy="1419225"/>
        </a:xfrm>
      </xdr:grpSpPr>
      <xdr:pic>
        <xdr:nvPicPr>
          <xdr:cNvPr id="6" name="Imagen 2">
            <a:extLst>
              <a:ext uri="{FF2B5EF4-FFF2-40B4-BE49-F238E27FC236}">
                <a16:creationId xmlns:a16="http://schemas.microsoft.com/office/drawing/2014/main" id="{CAD7FD35-B2C7-EFDE-8011-1F17ED8ACD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7" name="Imagen 1" descr="Logotipo&#10;&#10;Descripción generada automáticamente">
            <a:extLst>
              <a:ext uri="{FF2B5EF4-FFF2-40B4-BE49-F238E27FC236}">
                <a16:creationId xmlns:a16="http://schemas.microsoft.com/office/drawing/2014/main" id="{EF151F2D-AAF9-97C0-0EED-25CF805D5AC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74083</xdr:colOff>
      <xdr:row>0</xdr:row>
      <xdr:rowOff>95250</xdr:rowOff>
    </xdr:from>
    <xdr:to>
      <xdr:col>1</xdr:col>
      <xdr:colOff>1496484</xdr:colOff>
      <xdr:row>2</xdr:row>
      <xdr:rowOff>64567</xdr:rowOff>
    </xdr:to>
    <xdr:pic>
      <xdr:nvPicPr>
        <xdr:cNvPr id="2" name="Picture 1" descr="Imagen">
          <a:extLst>
            <a:ext uri="{FF2B5EF4-FFF2-40B4-BE49-F238E27FC236}">
              <a16:creationId xmlns:a16="http://schemas.microsoft.com/office/drawing/2014/main" id="{44E06FEA-24A4-4717-85EF-F0E39FACBA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083" y="95250"/>
          <a:ext cx="1425576" cy="311159"/>
        </a:xfrm>
        <a:prstGeom prst="rect">
          <a:avLst/>
        </a:prstGeom>
        <a:ln w="12700">
          <a:miter lim="400000"/>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11281</xdr:colOff>
      <xdr:row>0</xdr:row>
      <xdr:rowOff>95250</xdr:rowOff>
    </xdr:from>
    <xdr:to>
      <xdr:col>0</xdr:col>
      <xdr:colOff>1436857</xdr:colOff>
      <xdr:row>2</xdr:row>
      <xdr:rowOff>67742</xdr:rowOff>
    </xdr:to>
    <xdr:pic>
      <xdr:nvPicPr>
        <xdr:cNvPr id="2" name="Picture 1" descr="Imagen">
          <a:extLst>
            <a:ext uri="{FF2B5EF4-FFF2-40B4-BE49-F238E27FC236}">
              <a16:creationId xmlns:a16="http://schemas.microsoft.com/office/drawing/2014/main" id="{D2BBD9E0-5AB4-486A-9F48-5DC763C21A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91830" y="95250"/>
          <a:ext cx="1422401" cy="304262"/>
        </a:xfrm>
        <a:prstGeom prst="rect">
          <a:avLst/>
        </a:prstGeom>
        <a:ln w="12700">
          <a:miter lim="400000"/>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58554</xdr:colOff>
      <xdr:row>0</xdr:row>
      <xdr:rowOff>88506</xdr:rowOff>
    </xdr:from>
    <xdr:to>
      <xdr:col>1</xdr:col>
      <xdr:colOff>1487305</xdr:colOff>
      <xdr:row>2</xdr:row>
      <xdr:rowOff>64223</xdr:rowOff>
    </xdr:to>
    <xdr:pic>
      <xdr:nvPicPr>
        <xdr:cNvPr id="2" name="Picture 1" descr="Imagen">
          <a:extLst>
            <a:ext uri="{FF2B5EF4-FFF2-40B4-BE49-F238E27FC236}">
              <a16:creationId xmlns:a16="http://schemas.microsoft.com/office/drawing/2014/main" id="{32735FF6-442D-2903-89E7-AA8DB3223A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554" y="88506"/>
          <a:ext cx="1428751" cy="307984"/>
        </a:xfrm>
        <a:prstGeom prst="rect">
          <a:avLst/>
        </a:prstGeom>
        <a:ln w="12700">
          <a:miter lim="400000"/>
        </a:ln>
      </xdr:spPr>
    </xdr:pic>
    <xdr:clientData/>
  </xdr:twoCellAnchor>
  <xdr:twoCellAnchor>
    <xdr:from>
      <xdr:col>0</xdr:col>
      <xdr:colOff>0</xdr:colOff>
      <xdr:row>29</xdr:row>
      <xdr:rowOff>162442</xdr:rowOff>
    </xdr:from>
    <xdr:to>
      <xdr:col>1</xdr:col>
      <xdr:colOff>1487303</xdr:colOff>
      <xdr:row>33</xdr:row>
      <xdr:rowOff>37452</xdr:rowOff>
    </xdr:to>
    <xdr:grpSp>
      <xdr:nvGrpSpPr>
        <xdr:cNvPr id="3" name="Grupo 3">
          <a:extLst>
            <a:ext uri="{FF2B5EF4-FFF2-40B4-BE49-F238E27FC236}">
              <a16:creationId xmlns:a16="http://schemas.microsoft.com/office/drawing/2014/main" id="{016C9926-FD9A-46AE-AEBD-598A1358FCF5}"/>
            </a:ext>
          </a:extLst>
        </xdr:cNvPr>
        <xdr:cNvGrpSpPr/>
      </xdr:nvGrpSpPr>
      <xdr:grpSpPr>
        <a:xfrm>
          <a:off x="0" y="4834228"/>
          <a:ext cx="1487303" cy="570486"/>
          <a:chOff x="0" y="0"/>
          <a:chExt cx="3496166" cy="1419225"/>
        </a:xfrm>
      </xdr:grpSpPr>
      <xdr:pic>
        <xdr:nvPicPr>
          <xdr:cNvPr id="4" name="Imagen 2">
            <a:extLst>
              <a:ext uri="{FF2B5EF4-FFF2-40B4-BE49-F238E27FC236}">
                <a16:creationId xmlns:a16="http://schemas.microsoft.com/office/drawing/2014/main" id="{2A825152-B70D-3697-8E66-CEEF311B3B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6" name="Imagen 1" descr="Logotipo&#10;&#10;Descripción generada automáticamente">
            <a:extLst>
              <a:ext uri="{FF2B5EF4-FFF2-40B4-BE49-F238E27FC236}">
                <a16:creationId xmlns:a16="http://schemas.microsoft.com/office/drawing/2014/main" id="{8E896DEB-B096-589B-123D-B7CF5B1290D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16144</xdr:colOff>
      <xdr:row>0</xdr:row>
      <xdr:rowOff>88792</xdr:rowOff>
    </xdr:from>
    <xdr:to>
      <xdr:col>1</xdr:col>
      <xdr:colOff>1444895</xdr:colOff>
      <xdr:row>2</xdr:row>
      <xdr:rowOff>64101</xdr:rowOff>
    </xdr:to>
    <xdr:pic>
      <xdr:nvPicPr>
        <xdr:cNvPr id="2" name="Picture 1" descr="Imagen">
          <a:extLst>
            <a:ext uri="{FF2B5EF4-FFF2-40B4-BE49-F238E27FC236}">
              <a16:creationId xmlns:a16="http://schemas.microsoft.com/office/drawing/2014/main" id="{FBC88168-8470-4C22-BAD0-FE64B195E7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44" y="88792"/>
          <a:ext cx="1428751" cy="317509"/>
        </a:xfrm>
        <a:prstGeom prst="rect">
          <a:avLst/>
        </a:prstGeom>
        <a:ln w="12700">
          <a:miter lim="400000"/>
        </a:ln>
      </xdr:spPr>
    </xdr:pic>
    <xdr:clientData/>
  </xdr:twoCellAnchor>
  <xdr:twoCellAnchor editAs="oneCell">
    <xdr:from>
      <xdr:col>6</xdr:col>
      <xdr:colOff>758772</xdr:colOff>
      <xdr:row>0</xdr:row>
      <xdr:rowOff>104937</xdr:rowOff>
    </xdr:from>
    <xdr:to>
      <xdr:col>7</xdr:col>
      <xdr:colOff>1388391</xdr:colOff>
      <xdr:row>2</xdr:row>
      <xdr:rowOff>86596</xdr:rowOff>
    </xdr:to>
    <xdr:pic>
      <xdr:nvPicPr>
        <xdr:cNvPr id="5" name="Picture 4" descr="Imagen">
          <a:extLst>
            <a:ext uri="{FF2B5EF4-FFF2-40B4-BE49-F238E27FC236}">
              <a16:creationId xmlns:a16="http://schemas.microsoft.com/office/drawing/2014/main" id="{075F844E-0C7D-4673-B9C0-4932AD743F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59026" y="104937"/>
          <a:ext cx="1428751" cy="317509"/>
        </a:xfrm>
        <a:prstGeom prst="rect">
          <a:avLst/>
        </a:prstGeom>
        <a:ln w="12700">
          <a:miter lim="400000"/>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103982</xdr:colOff>
      <xdr:row>1</xdr:row>
      <xdr:rowOff>-1</xdr:rowOff>
    </xdr:from>
    <xdr:to>
      <xdr:col>1</xdr:col>
      <xdr:colOff>1846186</xdr:colOff>
      <xdr:row>3</xdr:row>
      <xdr:rowOff>49221</xdr:rowOff>
    </xdr:to>
    <xdr:pic>
      <xdr:nvPicPr>
        <xdr:cNvPr id="4" name="Picture 3" descr="Imagen">
          <a:extLst>
            <a:ext uri="{FF2B5EF4-FFF2-40B4-BE49-F238E27FC236}">
              <a16:creationId xmlns:a16="http://schemas.microsoft.com/office/drawing/2014/main" id="{E132BB6C-CACF-4D8A-A5B7-4C5573D23B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982" y="166687"/>
          <a:ext cx="1742204" cy="379422"/>
        </a:xfrm>
        <a:prstGeom prst="rect">
          <a:avLst/>
        </a:prstGeom>
        <a:ln w="12700">
          <a:miter lim="400000"/>
        </a:ln>
      </xdr:spPr>
    </xdr:pic>
    <xdr:clientData/>
  </xdr:twoCellAnchor>
  <xdr:twoCellAnchor>
    <xdr:from>
      <xdr:col>0</xdr:col>
      <xdr:colOff>0</xdr:colOff>
      <xdr:row>37</xdr:row>
      <xdr:rowOff>166687</xdr:rowOff>
    </xdr:from>
    <xdr:to>
      <xdr:col>1</xdr:col>
      <xdr:colOff>1487303</xdr:colOff>
      <xdr:row>38</xdr:row>
      <xdr:rowOff>355874</xdr:rowOff>
    </xdr:to>
    <xdr:grpSp>
      <xdr:nvGrpSpPr>
        <xdr:cNvPr id="2" name="Grupo 3">
          <a:extLst>
            <a:ext uri="{FF2B5EF4-FFF2-40B4-BE49-F238E27FC236}">
              <a16:creationId xmlns:a16="http://schemas.microsoft.com/office/drawing/2014/main" id="{954E5322-D4C7-4450-B16B-975CFFC7E800}"/>
            </a:ext>
          </a:extLst>
        </xdr:cNvPr>
        <xdr:cNvGrpSpPr/>
      </xdr:nvGrpSpPr>
      <xdr:grpSpPr>
        <a:xfrm>
          <a:off x="0" y="6880493"/>
          <a:ext cx="1487303" cy="547920"/>
          <a:chOff x="0" y="0"/>
          <a:chExt cx="3496166" cy="1419225"/>
        </a:xfrm>
      </xdr:grpSpPr>
      <xdr:pic>
        <xdr:nvPicPr>
          <xdr:cNvPr id="5" name="Imagen 2">
            <a:extLst>
              <a:ext uri="{FF2B5EF4-FFF2-40B4-BE49-F238E27FC236}">
                <a16:creationId xmlns:a16="http://schemas.microsoft.com/office/drawing/2014/main" id="{11AF7B12-2EDC-89A1-8C45-EAF539FF5B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6" name="Imagen 1" descr="Logotipo&#10;&#10;Descripción generada automáticamente">
            <a:extLst>
              <a:ext uri="{FF2B5EF4-FFF2-40B4-BE49-F238E27FC236}">
                <a16:creationId xmlns:a16="http://schemas.microsoft.com/office/drawing/2014/main" id="{5D72B356-BC30-6579-19C5-CFCEE268F61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0</xdr:row>
      <xdr:rowOff>83344</xdr:rowOff>
    </xdr:from>
    <xdr:to>
      <xdr:col>1</xdr:col>
      <xdr:colOff>1473201</xdr:colOff>
      <xdr:row>2</xdr:row>
      <xdr:rowOff>67478</xdr:rowOff>
    </xdr:to>
    <xdr:pic>
      <xdr:nvPicPr>
        <xdr:cNvPr id="4" name="Picture 3" descr="Imagen">
          <a:extLst>
            <a:ext uri="{FF2B5EF4-FFF2-40B4-BE49-F238E27FC236}">
              <a16:creationId xmlns:a16="http://schemas.microsoft.com/office/drawing/2014/main" id="{03B98B44-77E1-44D1-A53C-6ECAD14A77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83344"/>
          <a:ext cx="1428751" cy="314334"/>
        </a:xfrm>
        <a:prstGeom prst="rect">
          <a:avLst/>
        </a:prstGeom>
        <a:ln w="12700">
          <a:miter lim="400000"/>
        </a:ln>
      </xdr:spPr>
    </xdr:pic>
    <xdr:clientData/>
  </xdr:twoCellAnchor>
  <xdr:twoCellAnchor>
    <xdr:from>
      <xdr:col>0</xdr:col>
      <xdr:colOff>0</xdr:colOff>
      <xdr:row>23</xdr:row>
      <xdr:rowOff>119062</xdr:rowOff>
    </xdr:from>
    <xdr:to>
      <xdr:col>1</xdr:col>
      <xdr:colOff>1487303</xdr:colOff>
      <xdr:row>26</xdr:row>
      <xdr:rowOff>149499</xdr:rowOff>
    </xdr:to>
    <xdr:grpSp>
      <xdr:nvGrpSpPr>
        <xdr:cNvPr id="2" name="Grupo 3">
          <a:extLst>
            <a:ext uri="{FF2B5EF4-FFF2-40B4-BE49-F238E27FC236}">
              <a16:creationId xmlns:a16="http://schemas.microsoft.com/office/drawing/2014/main" id="{2B6575D8-DE1C-4C9D-8EC6-9E6AB9EEEADF}"/>
            </a:ext>
          </a:extLst>
        </xdr:cNvPr>
        <xdr:cNvGrpSpPr/>
      </xdr:nvGrpSpPr>
      <xdr:grpSpPr>
        <a:xfrm>
          <a:off x="0" y="3411685"/>
          <a:ext cx="1487303" cy="525663"/>
          <a:chOff x="0" y="0"/>
          <a:chExt cx="3496166" cy="1419225"/>
        </a:xfrm>
      </xdr:grpSpPr>
      <xdr:pic>
        <xdr:nvPicPr>
          <xdr:cNvPr id="7" name="Imagen 2">
            <a:extLst>
              <a:ext uri="{FF2B5EF4-FFF2-40B4-BE49-F238E27FC236}">
                <a16:creationId xmlns:a16="http://schemas.microsoft.com/office/drawing/2014/main" id="{A87F2484-5D6B-3C44-B119-EBC8AB9CA8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8" name="Imagen 1" descr="Logotipo&#10;&#10;Descripción generada automáticamente">
            <a:extLst>
              <a:ext uri="{FF2B5EF4-FFF2-40B4-BE49-F238E27FC236}">
                <a16:creationId xmlns:a16="http://schemas.microsoft.com/office/drawing/2014/main" id="{968549EA-3356-53B1-7584-00EE6148215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63499</xdr:colOff>
      <xdr:row>0</xdr:row>
      <xdr:rowOff>84667</xdr:rowOff>
    </xdr:from>
    <xdr:to>
      <xdr:col>1</xdr:col>
      <xdr:colOff>1495425</xdr:colOff>
      <xdr:row>2</xdr:row>
      <xdr:rowOff>63509</xdr:rowOff>
    </xdr:to>
    <xdr:pic>
      <xdr:nvPicPr>
        <xdr:cNvPr id="2" name="Picture 1" descr="Imagen">
          <a:extLst>
            <a:ext uri="{FF2B5EF4-FFF2-40B4-BE49-F238E27FC236}">
              <a16:creationId xmlns:a16="http://schemas.microsoft.com/office/drawing/2014/main" id="{B377DFD6-604E-43A3-9B12-78BD231768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499" y="84667"/>
          <a:ext cx="1425576" cy="317509"/>
        </a:xfrm>
        <a:prstGeom prst="rect">
          <a:avLst/>
        </a:prstGeom>
        <a:ln w="12700">
          <a:miter lim="400000"/>
        </a:ln>
      </xdr:spPr>
    </xdr:pic>
    <xdr:clientData/>
  </xdr:twoCellAnchor>
  <xdr:twoCellAnchor>
    <xdr:from>
      <xdr:col>0</xdr:col>
      <xdr:colOff>0</xdr:colOff>
      <xdr:row>18</xdr:row>
      <xdr:rowOff>113168</xdr:rowOff>
    </xdr:from>
    <xdr:to>
      <xdr:col>1</xdr:col>
      <xdr:colOff>1487303</xdr:colOff>
      <xdr:row>21</xdr:row>
      <xdr:rowOff>158222</xdr:rowOff>
    </xdr:to>
    <xdr:grpSp>
      <xdr:nvGrpSpPr>
        <xdr:cNvPr id="4" name="Grupo 3">
          <a:extLst>
            <a:ext uri="{FF2B5EF4-FFF2-40B4-BE49-F238E27FC236}">
              <a16:creationId xmlns:a16="http://schemas.microsoft.com/office/drawing/2014/main" id="{E51D7972-6585-4107-83FB-0E7CCDEBDDE4}"/>
            </a:ext>
          </a:extLst>
        </xdr:cNvPr>
        <xdr:cNvGrpSpPr/>
      </xdr:nvGrpSpPr>
      <xdr:grpSpPr>
        <a:xfrm>
          <a:off x="0" y="2843668"/>
          <a:ext cx="1487303" cy="562125"/>
          <a:chOff x="0" y="0"/>
          <a:chExt cx="3496166" cy="1419225"/>
        </a:xfrm>
      </xdr:grpSpPr>
      <xdr:pic>
        <xdr:nvPicPr>
          <xdr:cNvPr id="5" name="Imagen 2">
            <a:extLst>
              <a:ext uri="{FF2B5EF4-FFF2-40B4-BE49-F238E27FC236}">
                <a16:creationId xmlns:a16="http://schemas.microsoft.com/office/drawing/2014/main" id="{D023F590-CC67-856F-F6E5-79E3B647D6B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6" name="Imagen 1" descr="Logotipo&#10;&#10;Descripción generada automáticamente">
            <a:extLst>
              <a:ext uri="{FF2B5EF4-FFF2-40B4-BE49-F238E27FC236}">
                <a16:creationId xmlns:a16="http://schemas.microsoft.com/office/drawing/2014/main" id="{CCB15E4F-80C6-A47D-5597-DBA2E500A70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0</xdr:row>
      <xdr:rowOff>101600</xdr:rowOff>
    </xdr:from>
    <xdr:to>
      <xdr:col>0</xdr:col>
      <xdr:colOff>1466851</xdr:colOff>
      <xdr:row>2</xdr:row>
      <xdr:rowOff>63509</xdr:rowOff>
    </xdr:to>
    <xdr:pic>
      <xdr:nvPicPr>
        <xdr:cNvPr id="2" name="Picture 1" descr="Imagen">
          <a:extLst>
            <a:ext uri="{FF2B5EF4-FFF2-40B4-BE49-F238E27FC236}">
              <a16:creationId xmlns:a16="http://schemas.microsoft.com/office/drawing/2014/main" id="{9805B72A-C4D2-460F-B1C4-4019E2F936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01600"/>
          <a:ext cx="1428751" cy="317509"/>
        </a:xfrm>
        <a:prstGeom prst="rect">
          <a:avLst/>
        </a:prstGeom>
        <a:ln w="12700">
          <a:miter lim="400000"/>
        </a:ln>
      </xdr:spPr>
    </xdr:pic>
    <xdr:clientData/>
  </xdr:twoCellAnchor>
  <xdr:twoCellAnchor>
    <xdr:from>
      <xdr:col>0</xdr:col>
      <xdr:colOff>0</xdr:colOff>
      <xdr:row>13</xdr:row>
      <xdr:rowOff>143934</xdr:rowOff>
    </xdr:from>
    <xdr:to>
      <xdr:col>0</xdr:col>
      <xdr:colOff>1487303</xdr:colOff>
      <xdr:row>17</xdr:row>
      <xdr:rowOff>20912</xdr:rowOff>
    </xdr:to>
    <xdr:grpSp>
      <xdr:nvGrpSpPr>
        <xdr:cNvPr id="3" name="Grupo 3">
          <a:extLst>
            <a:ext uri="{FF2B5EF4-FFF2-40B4-BE49-F238E27FC236}">
              <a16:creationId xmlns:a16="http://schemas.microsoft.com/office/drawing/2014/main" id="{C5CA6FBD-C647-407A-829A-10BFC42DFAB6}"/>
            </a:ext>
          </a:extLst>
        </xdr:cNvPr>
        <xdr:cNvGrpSpPr/>
      </xdr:nvGrpSpPr>
      <xdr:grpSpPr>
        <a:xfrm>
          <a:off x="0" y="2530197"/>
          <a:ext cx="1487303" cy="572136"/>
          <a:chOff x="0" y="0"/>
          <a:chExt cx="3496166" cy="1419225"/>
        </a:xfrm>
      </xdr:grpSpPr>
      <xdr:pic>
        <xdr:nvPicPr>
          <xdr:cNvPr id="5" name="Imagen 2">
            <a:extLst>
              <a:ext uri="{FF2B5EF4-FFF2-40B4-BE49-F238E27FC236}">
                <a16:creationId xmlns:a16="http://schemas.microsoft.com/office/drawing/2014/main" id="{217DBEA1-A111-BEB3-7977-513CE0C212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6" name="Imagen 1" descr="Logotipo&#10;&#10;Descripción generada automáticamente">
            <a:extLst>
              <a:ext uri="{FF2B5EF4-FFF2-40B4-BE49-F238E27FC236}">
                <a16:creationId xmlns:a16="http://schemas.microsoft.com/office/drawing/2014/main" id="{28CD27F0-0A85-1F70-7218-240FFE607B4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izaldivar_colbun_cl/Documents/RESPALDO%20IZ/An&#225;lisis%20Razonado/2Q21/Analisis%20Razonado%202T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izaldivar\AppData\Local\Microsoft\Windows\INetCache\Content.Outlook\D4D6BS83\00.%20Balance%20de%20gesti&#243;n%20-%20Mar%202022%20v5.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izaldivar/Documents/Balance%20de%20Gesti&#243;n/12-2020/Copia%20de%20Bce%20Gesti&#243;n%20Fenix%20%20Consolidado%2012-20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ioma"/>
      <sheetName val="Vtas Fisicas y Gx. Chile"/>
      <sheetName val="Vtas Fisicas y Gx. Peru"/>
      <sheetName val="Tipo Cambio"/>
      <sheetName val="Tasas"/>
      <sheetName val="EBITDA Gx Chile"/>
      <sheetName val="EBITDA Tx"/>
      <sheetName val="Analisis unitario"/>
      <sheetName val="EBITDA CHILE"/>
      <sheetName val="EERR Cons."/>
      <sheetName val="EBITDA PERÚ"/>
      <sheetName val=" Px Monomicos Chile"/>
      <sheetName val="Px Monomicos Perú"/>
      <sheetName val="Gastos No Operacionales Cons"/>
      <sheetName val="Gastos No Operacionales PERÚ"/>
      <sheetName val="Balance Consolidado"/>
      <sheetName val="Balance Reducido"/>
      <sheetName val="Deuda"/>
      <sheetName val="Flujo Efectivo"/>
      <sheetName val="CMg"/>
      <sheetName val="Bce Consolidado"/>
      <sheetName val="Indicadores Financieros"/>
      <sheetName val="Resumen"/>
      <sheetName val="Gastos Financieros"/>
      <sheetName val="Gasto Fijo"/>
      <sheetName val="Caudales"/>
      <sheetName val="Precipitaciones"/>
      <sheetName val="UNIDADES FÍSICAS Y VALORADAS"/>
      <sheetName val="Datos Energía y Potencia"/>
      <sheetName val="Energía y Potencia en MMUSD"/>
      <sheetName val="Systep"/>
      <sheetName val="WTI"/>
      <sheetName val="Activos Corrientes "/>
      <sheetName val="Precios-Info"/>
      <sheetName val="Activos No Corrientes"/>
      <sheetName val="Pasivos Corrientes"/>
      <sheetName val="Pasivos No Corrientes"/>
      <sheetName val="Patrimonio"/>
      <sheetName val="Vtas Fisica y Gx mensual"/>
      <sheetName val="Hoja1"/>
      <sheetName val="Hoja3"/>
      <sheetName val="Disponibilidad"/>
    </sheetNames>
    <sheetDataSet>
      <sheetData sheetId="0"/>
      <sheetData sheetId="1"/>
      <sheetData sheetId="2"/>
      <sheetData sheetId="3"/>
      <sheetData sheetId="4"/>
      <sheetData sheetId="5"/>
      <sheetData sheetId="6"/>
      <sheetData sheetId="7"/>
      <sheetData sheetId="8"/>
      <sheetData sheetId="9">
        <row r="28">
          <cell r="BO28">
            <v>-52.134216937046602</v>
          </cell>
        </row>
        <row r="30">
          <cell r="BO30">
            <v>94.606332352696029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_BI_BLCE"/>
      <sheetName val="TABLA_BI_EERR"/>
      <sheetName val="TABLA_DTC"/>
      <sheetName val="TC"/>
      <sheetName val="PAV2"/>
      <sheetName val="TABLAS DESCALCE"/>
      <sheetName val="Plan de Cuentas Hana"/>
      <sheetName val="tabla cuentas desclace"/>
      <sheetName val="Portada"/>
      <sheetName val="00.BD"/>
      <sheetName val="TABLA"/>
      <sheetName val="Tabla IFRS"/>
      <sheetName val="Índice"/>
      <sheetName val="balanceE"/>
      <sheetName val="01.BALANCE"/>
      <sheetName val="02.RESULTADO CONS"/>
      <sheetName val="03.RESULTADO FENP"/>
      <sheetName val="04.RESULTADO GX"/>
      <sheetName val="Clave Balance"/>
      <sheetName val="Clave Resultado"/>
      <sheetName val="05. Plan 2022 Gx"/>
      <sheetName val="06.DESCALCE CONS"/>
      <sheetName val="07.DESCALCE CONS V2"/>
      <sheetName val="09.Activo"/>
      <sheetName val="10.Pasivo"/>
      <sheetName val="11.Resultados"/>
      <sheetName val="12.Otro Resultado Integral"/>
      <sheetName val="13.Cambios"/>
      <sheetName val="14.BAL AR"/>
      <sheetName val="15.EERR CONS"/>
      <sheetName val="16.EERR AR FENP"/>
      <sheetName val="17.EERR AR GX"/>
      <sheetName val="19.Indicad"/>
      <sheetName val="20. IF"/>
      <sheetName val="EFE"/>
      <sheetName val="EFE DIR"/>
      <sheetName val="BD-R° (2)"/>
      <sheetName val="EEFF Desaladora"/>
      <sheetName val="Compras a Efiz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E3">
            <v>1198.4587716144599</v>
          </cell>
          <cell r="O3">
            <v>1175.0899999999999</v>
          </cell>
          <cell r="R3">
            <v>21.9</v>
          </cell>
          <cell r="S3">
            <v>60.866082339999991</v>
          </cell>
        </row>
        <row r="11">
          <cell r="R11">
            <v>1695.91</v>
          </cell>
          <cell r="S11">
            <v>350.49495662999999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e"/>
      <sheetName val="BD-R°"/>
      <sheetName val="B"/>
      <sheetName val="R"/>
      <sheetName val="IFRS"/>
      <sheetName val="A°"/>
      <sheetName val="P°"/>
      <sheetName val="R°"/>
      <sheetName val="Ppto"/>
      <sheetName val="B°G°"/>
      <sheetName val="R°G°"/>
      <sheetName val="R°T°"/>
      <sheetName val="M°P°"/>
      <sheetName val="Det Impto"/>
      <sheetName val="Carp Dir"/>
      <sheetName val="Ok"/>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BAL AR"/>
      <sheetName val="EERR AR"/>
      <sheetName val="EFE"/>
      <sheetName val="Indicad"/>
      <sheetName val="IF 12-'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D4">
            <v>28.840882880000002</v>
          </cell>
          <cell r="I4">
            <v>58.727120349999993</v>
          </cell>
        </row>
        <row r="12">
          <cell r="I12">
            <v>400.82356003999996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39997558519241921"/>
  </sheetPr>
  <dimension ref="A1"/>
  <sheetViews>
    <sheetView showGridLines="0" workbookViewId="0"/>
  </sheetViews>
  <sheetFormatPr defaultColWidth="11.453125" defaultRowHeight="14.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9" tint="0.79998168889431442"/>
  </sheetPr>
  <dimension ref="A4:N23"/>
  <sheetViews>
    <sheetView zoomScale="86" zoomScaleNormal="86" workbookViewId="0">
      <selection activeCell="T48" sqref="T48"/>
    </sheetView>
  </sheetViews>
  <sheetFormatPr defaultColWidth="11.453125" defaultRowHeight="13.5"/>
  <cols>
    <col min="1" max="1" width="27.36328125" style="45" customWidth="1"/>
    <col min="2" max="4" width="7.6328125" style="45" hidden="1" customWidth="1"/>
    <col min="5" max="14" width="7.6328125" style="45" customWidth="1"/>
    <col min="15" max="17" width="8" style="45" customWidth="1"/>
    <col min="18" max="16384" width="11.453125" style="45"/>
  </cols>
  <sheetData>
    <row r="4" spans="1:14" ht="23.5">
      <c r="A4" s="11" t="s">
        <v>0</v>
      </c>
      <c r="B4" s="12"/>
      <c r="C4" s="12"/>
      <c r="D4" s="12"/>
      <c r="E4" s="12"/>
      <c r="F4" s="12"/>
      <c r="G4" s="12"/>
      <c r="H4" s="12"/>
      <c r="I4" s="12"/>
      <c r="J4" s="12"/>
      <c r="K4" s="12"/>
      <c r="L4" s="12"/>
      <c r="M4" s="12"/>
      <c r="N4" s="12"/>
    </row>
    <row r="5" spans="1:14" ht="14.25" customHeight="1">
      <c r="A5" s="1"/>
      <c r="B5" s="1"/>
    </row>
    <row r="6" spans="1:14">
      <c r="A6" s="3" t="s">
        <v>207</v>
      </c>
      <c r="B6" s="139">
        <v>2018</v>
      </c>
      <c r="C6" s="139">
        <v>2021</v>
      </c>
      <c r="D6" s="139">
        <v>2022</v>
      </c>
      <c r="E6" s="139">
        <v>2023</v>
      </c>
      <c r="F6" s="139">
        <v>2024</v>
      </c>
      <c r="G6" s="139">
        <v>2025</v>
      </c>
      <c r="H6" s="139">
        <v>2026</v>
      </c>
      <c r="I6" s="139">
        <v>2027</v>
      </c>
      <c r="J6" s="139">
        <v>2028</v>
      </c>
      <c r="K6" s="139">
        <v>2029</v>
      </c>
      <c r="L6" s="139">
        <v>2030</v>
      </c>
      <c r="M6" s="139">
        <v>2031</v>
      </c>
      <c r="N6" s="139">
        <v>2032</v>
      </c>
    </row>
    <row r="7" spans="1:14">
      <c r="A7" s="3" t="s">
        <v>141</v>
      </c>
      <c r="B7" s="139"/>
      <c r="C7" s="139"/>
      <c r="D7" s="139"/>
      <c r="E7" s="139"/>
      <c r="F7" s="139"/>
      <c r="G7" s="139"/>
      <c r="H7" s="139"/>
      <c r="I7" s="139"/>
      <c r="J7" s="139"/>
      <c r="K7" s="139"/>
      <c r="L7" s="139"/>
      <c r="M7" s="139"/>
      <c r="N7" s="139"/>
    </row>
    <row r="8" spans="1:14" ht="8.25" customHeight="1">
      <c r="A8" s="1"/>
      <c r="B8" s="1"/>
    </row>
    <row r="9" spans="1:14" ht="14.5">
      <c r="A9" s="5" t="s">
        <v>208</v>
      </c>
      <c r="B9" s="7">
        <v>0</v>
      </c>
      <c r="C9" s="68"/>
      <c r="D9" s="68"/>
      <c r="E9" s="68"/>
      <c r="F9" s="68"/>
      <c r="G9" s="68">
        <v>0</v>
      </c>
      <c r="H9" s="68">
        <v>0</v>
      </c>
      <c r="I9" s="68">
        <v>500</v>
      </c>
      <c r="J9" s="68">
        <v>0</v>
      </c>
      <c r="K9" s="68">
        <v>160</v>
      </c>
      <c r="L9" s="68">
        <v>500</v>
      </c>
      <c r="M9" s="68">
        <v>0</v>
      </c>
      <c r="N9" s="68">
        <v>600</v>
      </c>
    </row>
    <row r="14" spans="1:14" ht="23.5">
      <c r="A14" s="11" t="s">
        <v>37</v>
      </c>
      <c r="B14" s="12"/>
      <c r="C14" s="12"/>
      <c r="D14" s="12"/>
      <c r="E14" s="12"/>
      <c r="F14" s="12"/>
      <c r="G14" s="12"/>
      <c r="H14" s="12"/>
      <c r="I14" s="12"/>
      <c r="J14" s="12"/>
      <c r="K14" s="12"/>
      <c r="L14" s="12"/>
      <c r="M14" s="12"/>
      <c r="N14" s="12"/>
    </row>
    <row r="15" spans="1:14" ht="13.5" customHeight="1">
      <c r="A15" s="1"/>
      <c r="B15" s="1"/>
    </row>
    <row r="16" spans="1:14">
      <c r="A16" s="3" t="s">
        <v>207</v>
      </c>
      <c r="B16" s="139">
        <v>2018</v>
      </c>
      <c r="C16" s="139">
        <v>2021</v>
      </c>
      <c r="D16" s="139">
        <v>2022</v>
      </c>
      <c r="E16" s="139">
        <v>2023</v>
      </c>
      <c r="F16" s="139">
        <v>2024</v>
      </c>
      <c r="G16" s="139">
        <v>2025</v>
      </c>
      <c r="H16" s="139">
        <v>2026</v>
      </c>
      <c r="I16" s="139">
        <v>2027</v>
      </c>
      <c r="J16" s="144">
        <v>2028</v>
      </c>
      <c r="K16" s="139">
        <v>2029</v>
      </c>
      <c r="L16" s="139">
        <v>2030</v>
      </c>
      <c r="M16" s="139">
        <v>2031</v>
      </c>
      <c r="N16" s="139">
        <v>2032</v>
      </c>
    </row>
    <row r="17" spans="1:14">
      <c r="A17" s="3" t="s">
        <v>141</v>
      </c>
      <c r="B17" s="139"/>
      <c r="C17" s="139"/>
      <c r="D17" s="139"/>
      <c r="E17" s="139"/>
      <c r="F17" s="139"/>
      <c r="G17" s="139"/>
      <c r="H17" s="139"/>
      <c r="I17" s="139"/>
      <c r="J17" s="144"/>
      <c r="K17" s="139"/>
      <c r="L17" s="139"/>
      <c r="M17" s="139"/>
      <c r="N17" s="139"/>
    </row>
    <row r="18" spans="1:14">
      <c r="A18" s="1"/>
      <c r="B18" s="1"/>
    </row>
    <row r="19" spans="1:14" ht="14.5">
      <c r="A19" s="5" t="s">
        <v>38</v>
      </c>
      <c r="B19" s="7">
        <v>0</v>
      </c>
      <c r="C19" s="67"/>
      <c r="D19" s="67">
        <v>0</v>
      </c>
      <c r="E19" s="67"/>
      <c r="F19" s="67">
        <v>12</v>
      </c>
      <c r="G19" s="67">
        <v>16</v>
      </c>
      <c r="H19" s="67">
        <v>18</v>
      </c>
      <c r="I19" s="67">
        <v>168</v>
      </c>
      <c r="J19" s="54">
        <v>0</v>
      </c>
      <c r="K19" s="54">
        <v>0</v>
      </c>
      <c r="L19" s="54">
        <v>0</v>
      </c>
      <c r="M19" s="54">
        <v>0</v>
      </c>
      <c r="N19" s="54">
        <v>0</v>
      </c>
    </row>
    <row r="21" spans="1:14">
      <c r="A21" s="1" t="s">
        <v>209</v>
      </c>
      <c r="B21" s="1"/>
      <c r="C21" s="1"/>
      <c r="D21" s="1"/>
      <c r="E21" s="1"/>
      <c r="F21" s="1"/>
      <c r="G21" s="1"/>
      <c r="H21" s="1"/>
      <c r="I21" s="1"/>
    </row>
    <row r="22" spans="1:14">
      <c r="A22" s="1"/>
      <c r="B22" s="1"/>
      <c r="C22" s="1"/>
      <c r="D22" s="1"/>
      <c r="E22" s="1"/>
      <c r="F22" s="1"/>
    </row>
    <row r="23" spans="1:14">
      <c r="A23" s="1"/>
      <c r="B23" s="1"/>
      <c r="C23" s="1"/>
      <c r="D23" s="1"/>
      <c r="E23" s="1"/>
      <c r="F23" s="1"/>
    </row>
  </sheetData>
  <mergeCells count="26">
    <mergeCell ref="B16:B17"/>
    <mergeCell ref="C16:C17"/>
    <mergeCell ref="D16:D17"/>
    <mergeCell ref="L6:L7"/>
    <mergeCell ref="L16:L17"/>
    <mergeCell ref="K6:K7"/>
    <mergeCell ref="C6:C7"/>
    <mergeCell ref="D6:D7"/>
    <mergeCell ref="J6:J7"/>
    <mergeCell ref="I6:I7"/>
    <mergeCell ref="M16:M17"/>
    <mergeCell ref="N16:N17"/>
    <mergeCell ref="M6:M7"/>
    <mergeCell ref="N6:N7"/>
    <mergeCell ref="B6:B7"/>
    <mergeCell ref="J16:J17"/>
    <mergeCell ref="K16:K17"/>
    <mergeCell ref="F16:F17"/>
    <mergeCell ref="G16:G17"/>
    <mergeCell ref="H16:H17"/>
    <mergeCell ref="I16:I17"/>
    <mergeCell ref="E6:E7"/>
    <mergeCell ref="E16:E17"/>
    <mergeCell ref="F6:F7"/>
    <mergeCell ref="G6:G7"/>
    <mergeCell ref="H6:H7"/>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theme="9" tint="0.79998168889431442"/>
  </sheetPr>
  <dimension ref="A4:AX40"/>
  <sheetViews>
    <sheetView topLeftCell="B1" zoomScale="84" zoomScaleNormal="84" workbookViewId="0"/>
  </sheetViews>
  <sheetFormatPr defaultColWidth="11.453125" defaultRowHeight="13.5"/>
  <cols>
    <col min="1" max="1" width="0" style="1" hidden="1" customWidth="1"/>
    <col min="2" max="2" width="57" style="1" customWidth="1"/>
    <col min="3" max="6" width="11.453125" style="1"/>
    <col min="7" max="7" width="11.453125" style="56"/>
    <col min="8" max="8" width="55.6328125" style="1" customWidth="1"/>
    <col min="9" max="49" width="11.453125" style="1" customWidth="1"/>
    <col min="50" max="16384" width="11.453125" style="1"/>
  </cols>
  <sheetData>
    <row r="4" spans="1:50" ht="23.5">
      <c r="B4" s="11" t="s">
        <v>0</v>
      </c>
      <c r="C4" s="12"/>
      <c r="D4" s="12"/>
      <c r="E4" s="12"/>
      <c r="H4" s="11" t="s">
        <v>0</v>
      </c>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row>
    <row r="6" spans="1:50">
      <c r="A6" s="1">
        <v>1</v>
      </c>
      <c r="B6" s="3" t="s">
        <v>210</v>
      </c>
      <c r="C6" s="141" t="s">
        <v>73</v>
      </c>
      <c r="D6" s="141" t="s">
        <v>74</v>
      </c>
      <c r="E6" s="139" t="s">
        <v>75</v>
      </c>
      <c r="G6" s="56">
        <v>1</v>
      </c>
      <c r="H6" s="3" t="s">
        <v>210</v>
      </c>
      <c r="I6" s="139" t="s">
        <v>77</v>
      </c>
      <c r="J6" s="139" t="s">
        <v>78</v>
      </c>
      <c r="K6" s="139" t="s">
        <v>79</v>
      </c>
      <c r="L6" s="139" t="s">
        <v>80</v>
      </c>
      <c r="M6" s="139" t="s">
        <v>81</v>
      </c>
      <c r="N6" s="139" t="s">
        <v>82</v>
      </c>
      <c r="O6" s="139" t="s">
        <v>83</v>
      </c>
      <c r="P6" s="139" t="s">
        <v>84</v>
      </c>
      <c r="Q6" s="139" t="s">
        <v>85</v>
      </c>
      <c r="R6" s="139" t="s">
        <v>86</v>
      </c>
      <c r="S6" s="139" t="s">
        <v>87</v>
      </c>
      <c r="T6" s="139" t="s">
        <v>88</v>
      </c>
      <c r="U6" s="139" t="s">
        <v>89</v>
      </c>
      <c r="V6" s="139" t="s">
        <v>90</v>
      </c>
      <c r="W6" s="139" t="s">
        <v>91</v>
      </c>
      <c r="X6" s="139" t="s">
        <v>92</v>
      </c>
      <c r="Y6" s="139" t="s">
        <v>93</v>
      </c>
      <c r="Z6" s="139" t="s">
        <v>94</v>
      </c>
      <c r="AA6" s="139" t="s">
        <v>95</v>
      </c>
      <c r="AB6" s="139" t="s">
        <v>96</v>
      </c>
      <c r="AC6" s="139" t="s">
        <v>97</v>
      </c>
      <c r="AD6" s="139" t="s">
        <v>98</v>
      </c>
      <c r="AE6" s="139" t="s">
        <v>99</v>
      </c>
      <c r="AF6" s="139" t="s">
        <v>100</v>
      </c>
      <c r="AG6" s="139" t="s">
        <v>101</v>
      </c>
      <c r="AH6" s="139" t="s">
        <v>102</v>
      </c>
      <c r="AI6" s="139" t="s">
        <v>103</v>
      </c>
      <c r="AJ6" s="139" t="s">
        <v>104</v>
      </c>
      <c r="AK6" s="139" t="s">
        <v>105</v>
      </c>
      <c r="AL6" s="139" t="s">
        <v>106</v>
      </c>
      <c r="AM6" s="139" t="s">
        <v>107</v>
      </c>
      <c r="AN6" s="139" t="s">
        <v>108</v>
      </c>
      <c r="AO6" s="139" t="s">
        <v>109</v>
      </c>
      <c r="AP6" s="139" t="s">
        <v>110</v>
      </c>
      <c r="AQ6" s="139" t="s">
        <v>111</v>
      </c>
      <c r="AR6" s="139" t="s">
        <v>112</v>
      </c>
      <c r="AS6" s="139" t="s">
        <v>73</v>
      </c>
      <c r="AT6" s="139" t="s">
        <v>113</v>
      </c>
      <c r="AU6" s="139" t="s">
        <v>114</v>
      </c>
      <c r="AV6" s="139" t="s">
        <v>115</v>
      </c>
      <c r="AW6" s="141" t="s">
        <v>74</v>
      </c>
    </row>
    <row r="7" spans="1:50">
      <c r="A7" s="1">
        <v>2</v>
      </c>
      <c r="B7" s="3" t="s">
        <v>141</v>
      </c>
      <c r="C7" s="141"/>
      <c r="D7" s="141"/>
      <c r="E7" s="139"/>
      <c r="G7" s="56">
        <f>G6+1</f>
        <v>2</v>
      </c>
      <c r="H7" s="3" t="s">
        <v>141</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39"/>
      <c r="AR7" s="139"/>
      <c r="AS7" s="139"/>
      <c r="AT7" s="139"/>
      <c r="AU7" s="139"/>
      <c r="AV7" s="139"/>
      <c r="AW7" s="141"/>
    </row>
    <row r="8" spans="1:50">
      <c r="A8" s="1">
        <v>3</v>
      </c>
      <c r="G8" s="56">
        <f t="shared" ref="G8:G18" si="0">G7+1</f>
        <v>3</v>
      </c>
    </row>
    <row r="9" spans="1:50">
      <c r="A9" s="1">
        <v>4</v>
      </c>
      <c r="B9" s="6" t="s">
        <v>211</v>
      </c>
      <c r="C9" s="9">
        <f t="shared" ref="C9" si="1">HLOOKUP($C$6,$H$6:$BO$18,$G9,FALSE)</f>
        <v>1067.4524574799998</v>
      </c>
      <c r="D9" s="9">
        <f>HLOOKUP($D$6,$H$6:$BO$18,$G9,FALSE)</f>
        <v>947.52394420999997</v>
      </c>
      <c r="E9" s="37">
        <f>D9/C9-1</f>
        <v>-0.11235021515911103</v>
      </c>
      <c r="G9" s="56">
        <f t="shared" si="0"/>
        <v>4</v>
      </c>
      <c r="H9" s="6" t="s">
        <v>212</v>
      </c>
      <c r="I9" s="18">
        <v>260.39999999999998</v>
      </c>
      <c r="J9" s="9">
        <f t="shared" ref="J9:AC9" si="2">+I18</f>
        <v>208.29999999999998</v>
      </c>
      <c r="K9" s="9">
        <f t="shared" si="2"/>
        <v>337.4</v>
      </c>
      <c r="L9" s="9">
        <f t="shared" si="2"/>
        <v>878.3</v>
      </c>
      <c r="M9" s="9">
        <f t="shared" si="2"/>
        <v>832.8</v>
      </c>
      <c r="N9" s="9">
        <f t="shared" si="2"/>
        <v>816.69999999999993</v>
      </c>
      <c r="O9" s="9">
        <f t="shared" si="2"/>
        <v>912.49099999999987</v>
      </c>
      <c r="P9" s="9">
        <f t="shared" si="2"/>
        <v>1090.6089999999999</v>
      </c>
      <c r="Q9" s="9">
        <f t="shared" si="2"/>
        <v>1080.8256289999999</v>
      </c>
      <c r="R9" s="9">
        <f t="shared" si="2"/>
        <v>1042.8013145999998</v>
      </c>
      <c r="S9" s="9">
        <f t="shared" si="2"/>
        <v>827.98442899999998</v>
      </c>
      <c r="T9" s="9">
        <f t="shared" si="2"/>
        <v>577.45219999999995</v>
      </c>
      <c r="U9" s="9">
        <f t="shared" si="2"/>
        <v>644.96532536999996</v>
      </c>
      <c r="V9" s="9">
        <f t="shared" si="2"/>
        <v>625.20732536999992</v>
      </c>
      <c r="W9" s="9">
        <f t="shared" si="2"/>
        <v>642.65332536999983</v>
      </c>
      <c r="X9" s="9">
        <f t="shared" si="2"/>
        <v>732.58632536999994</v>
      </c>
      <c r="Y9" s="9">
        <f t="shared" si="2"/>
        <v>757.34441991999984</v>
      </c>
      <c r="Z9" s="9">
        <f t="shared" si="2"/>
        <v>840.16941991999988</v>
      </c>
      <c r="AA9" s="9">
        <f t="shared" si="2"/>
        <v>643.25441991999992</v>
      </c>
      <c r="AB9" s="9">
        <f t="shared" si="2"/>
        <v>738.24441991999993</v>
      </c>
      <c r="AC9" s="9">
        <f t="shared" si="2"/>
        <v>764.4089199199999</v>
      </c>
      <c r="AD9" s="9">
        <f>+AC18</f>
        <v>802.70891991999986</v>
      </c>
      <c r="AE9" s="9">
        <f>667.31511992-AE28</f>
        <v>649.84441992000006</v>
      </c>
      <c r="AF9" s="9">
        <v>766.85041991999992</v>
      </c>
      <c r="AG9" s="9">
        <f>797.42039843-AG28</f>
        <v>773.64969842999994</v>
      </c>
      <c r="AH9" s="9">
        <f>+AG18</f>
        <v>951.04969842999992</v>
      </c>
      <c r="AI9" s="9">
        <f>+AH18</f>
        <v>813.14969842999994</v>
      </c>
      <c r="AJ9" s="9">
        <f>966.02039843-AJ28</f>
        <v>938.64969842999994</v>
      </c>
      <c r="AK9" s="9">
        <f>+AJ18-AK28</f>
        <v>905.47899842999993</v>
      </c>
      <c r="AL9" s="9">
        <f>1027.85236843-AL28</f>
        <v>1006.0806684300001</v>
      </c>
      <c r="AM9" s="9">
        <f>+AL18</f>
        <v>757.01755843000001</v>
      </c>
      <c r="AN9" s="9">
        <f>+AM18</f>
        <v>1864.68255843</v>
      </c>
      <c r="AO9" s="9">
        <v>1391.2534867299998</v>
      </c>
      <c r="AP9" s="9">
        <v>1175.0958348099998</v>
      </c>
      <c r="AQ9" s="9">
        <v>950.63473795999971</v>
      </c>
      <c r="AR9" s="9">
        <v>1150.6624691799996</v>
      </c>
      <c r="AS9" s="9">
        <v>1067.4524574799998</v>
      </c>
      <c r="AT9" s="9">
        <v>985.32754586981616</v>
      </c>
      <c r="AU9" s="9">
        <v>882.19505667323585</v>
      </c>
      <c r="AV9" s="9">
        <f>AU18</f>
        <v>1092.87394421</v>
      </c>
      <c r="AW9" s="9">
        <f>AV18</f>
        <v>947.52394420999997</v>
      </c>
      <c r="AX9" s="51"/>
    </row>
    <row r="10" spans="1:50" ht="8.25" customHeight="1">
      <c r="A10" s="1">
        <v>5</v>
      </c>
      <c r="G10" s="56">
        <f t="shared" si="0"/>
        <v>5</v>
      </c>
      <c r="I10" s="21"/>
      <c r="J10" s="21"/>
      <c r="K10" s="21"/>
      <c r="L10" s="21"/>
      <c r="M10" s="21"/>
      <c r="N10" s="21"/>
      <c r="O10" s="21"/>
      <c r="P10" s="21"/>
      <c r="AX10" s="51"/>
    </row>
    <row r="11" spans="1:50">
      <c r="A11" s="1">
        <v>6</v>
      </c>
      <c r="B11" s="5" t="s">
        <v>213</v>
      </c>
      <c r="C11" s="8">
        <f>HLOOKUP($C$6,$H$6:$BO$18,$G11,FALSE)</f>
        <v>61.481915389816294</v>
      </c>
      <c r="D11" s="8">
        <f t="shared" ref="D11:D18" si="3">HLOOKUP($D$6,$H$6:$BO$18,$G11,FALSE)</f>
        <v>57.2</v>
      </c>
      <c r="E11" s="47">
        <f t="shared" ref="E11:E16" si="4">+D11/C11-1</f>
        <v>-6.964512023848779E-2</v>
      </c>
      <c r="G11" s="56">
        <f t="shared" si="0"/>
        <v>6</v>
      </c>
      <c r="H11" s="5" t="s">
        <v>213</v>
      </c>
      <c r="I11" s="17">
        <v>83.1</v>
      </c>
      <c r="J11" s="17">
        <v>196.8</v>
      </c>
      <c r="K11" s="17">
        <v>148.9</v>
      </c>
      <c r="L11" s="17">
        <v>166.8</v>
      </c>
      <c r="M11" s="17">
        <v>77.2</v>
      </c>
      <c r="N11" s="17">
        <v>157.346</v>
      </c>
      <c r="O11" s="17">
        <v>235.101</v>
      </c>
      <c r="P11" s="17">
        <v>248.51662899999999</v>
      </c>
      <c r="Q11" s="8">
        <v>98.175600000000003</v>
      </c>
      <c r="R11" s="8">
        <v>151.8321</v>
      </c>
      <c r="S11" s="8">
        <v>100.69827099999998</v>
      </c>
      <c r="T11" s="8">
        <v>151.289929</v>
      </c>
      <c r="U11" s="8">
        <v>87.41</v>
      </c>
      <c r="V11" s="8">
        <v>118.98099999999998</v>
      </c>
      <c r="W11" s="8">
        <v>145.17400000000004</v>
      </c>
      <c r="X11" s="8">
        <v>172.24999999999994</v>
      </c>
      <c r="Y11" s="8">
        <v>121.57799999999999</v>
      </c>
      <c r="Z11" s="8">
        <v>83.737000000000023</v>
      </c>
      <c r="AA11" s="8">
        <v>134.78500000000003</v>
      </c>
      <c r="AB11" s="8">
        <f>144.4-AB30</f>
        <v>142.709</v>
      </c>
      <c r="AC11" s="8">
        <f>78.3-AC30</f>
        <v>74.899999999999991</v>
      </c>
      <c r="AD11" s="8">
        <v>154</v>
      </c>
      <c r="AE11" s="8">
        <f>165.004-AE30</f>
        <v>151.304</v>
      </c>
      <c r="AF11" s="8">
        <v>128.99599999999998</v>
      </c>
      <c r="AG11" s="8">
        <f>97.9-AG30</f>
        <v>89.4</v>
      </c>
      <c r="AH11" s="8">
        <f>95.4-AH30</f>
        <v>78.900000000000006</v>
      </c>
      <c r="AI11" s="8">
        <f>183.2-AI30</f>
        <v>154.19999999999999</v>
      </c>
      <c r="AJ11" s="8">
        <f>148.9-AJ30</f>
        <v>139.4</v>
      </c>
      <c r="AK11" s="8">
        <f>111.92597-AK30</f>
        <v>96.825970000000012</v>
      </c>
      <c r="AL11" s="8">
        <f>110.39889-AL30</f>
        <v>93.198890000000006</v>
      </c>
      <c r="AM11" s="8">
        <f>94.3-AM30</f>
        <v>73.920999999999992</v>
      </c>
      <c r="AN11" s="8">
        <f>17.9176956799996-AN30</f>
        <v>5.0966956799996019</v>
      </c>
      <c r="AO11" s="8">
        <v>35.97561807999994</v>
      </c>
      <c r="AP11" s="8">
        <v>-87.71665885000013</v>
      </c>
      <c r="AQ11" s="8">
        <v>300.2758604500001</v>
      </c>
      <c r="AR11" s="8">
        <f>178.45068007-AR30</f>
        <v>147.25068006999999</v>
      </c>
      <c r="AS11" s="8">
        <f>77.8819153898163-AS30</f>
        <v>61.481915389816294</v>
      </c>
      <c r="AT11" s="8">
        <f>78.6569268634202-AT30</f>
        <v>78.956926863420193</v>
      </c>
      <c r="AU11" s="8">
        <f>381.561157746764-AU30</f>
        <v>342.56115774676402</v>
      </c>
      <c r="AV11" s="8">
        <f>180.25-AV30</f>
        <v>161.25</v>
      </c>
      <c r="AW11" s="8">
        <f>74.7-AW30</f>
        <v>57.2</v>
      </c>
      <c r="AX11" s="51"/>
    </row>
    <row r="12" spans="1:50">
      <c r="A12" s="1">
        <v>7</v>
      </c>
      <c r="B12" s="5" t="s">
        <v>214</v>
      </c>
      <c r="C12" s="8">
        <f t="shared" ref="C12:C18" si="5">HLOOKUP($C$6,$H$6:$BO$18,$G12,FALSE)</f>
        <v>-43.773392000000001</v>
      </c>
      <c r="D12" s="8">
        <f t="shared" si="3"/>
        <v>-25.400000000000002</v>
      </c>
      <c r="E12" s="47">
        <f t="shared" si="4"/>
        <v>-0.41973882215936109</v>
      </c>
      <c r="G12" s="56">
        <f t="shared" si="0"/>
        <v>7</v>
      </c>
      <c r="H12" s="5" t="s">
        <v>215</v>
      </c>
      <c r="I12" s="8">
        <v>-83.1</v>
      </c>
      <c r="J12" s="8">
        <v>-47.1</v>
      </c>
      <c r="K12" s="8">
        <v>430.9</v>
      </c>
      <c r="L12" s="8">
        <v>-184</v>
      </c>
      <c r="M12" s="8">
        <v>-67.3</v>
      </c>
      <c r="N12" s="8">
        <v>-41.454999999999998</v>
      </c>
      <c r="O12" s="8">
        <v>-29.039999999999992</v>
      </c>
      <c r="P12" s="8">
        <v>-31.8</v>
      </c>
      <c r="Q12" s="8">
        <v>-73.321899999999999</v>
      </c>
      <c r="R12" s="8">
        <v>-333.88489999999996</v>
      </c>
      <c r="S12" s="8">
        <v>-281.13549999999998</v>
      </c>
      <c r="T12" s="8">
        <v>-20.301699999999993</v>
      </c>
      <c r="U12" s="8">
        <v>-71.287000000000006</v>
      </c>
      <c r="V12" s="8">
        <v>-73.373999999999995</v>
      </c>
      <c r="W12" s="8">
        <v>-26.250000000000018</v>
      </c>
      <c r="X12" s="8">
        <v>-133.18200000000002</v>
      </c>
      <c r="Y12" s="8">
        <v>-1.7210000000000001</v>
      </c>
      <c r="Z12" s="8">
        <v>-234.536</v>
      </c>
      <c r="AA12" s="8">
        <v>-11.242999999999999</v>
      </c>
      <c r="AB12" s="8">
        <f>+-117.3-AB31</f>
        <v>-143.55599999999998</v>
      </c>
      <c r="AC12" s="8">
        <f>+-36.1-AC31</f>
        <v>-22.200000000000003</v>
      </c>
      <c r="AD12" s="8">
        <v>-284.3</v>
      </c>
      <c r="AE12" s="8">
        <f>+-29.469-AE31</f>
        <v>-12.069000000000003</v>
      </c>
      <c r="AF12" s="8">
        <v>-124.13100000000001</v>
      </c>
      <c r="AG12" s="8">
        <f>105.7-AG31</f>
        <v>104.60000000000001</v>
      </c>
      <c r="AH12" s="8">
        <f>+-199.8-AH31</f>
        <v>-200.4</v>
      </c>
      <c r="AI12" s="8">
        <f>+-33.2-AI31</f>
        <v>-11.800000000000004</v>
      </c>
      <c r="AJ12" s="8">
        <f>+-119.2-AJ31</f>
        <v>-113.5</v>
      </c>
      <c r="AK12" s="8">
        <f>+-37.515-AK31</f>
        <v>-14.065000000000001</v>
      </c>
      <c r="AL12" s="8">
        <f>+-285.723-AL31</f>
        <v>-280.87299999999999</v>
      </c>
      <c r="AM12" s="8">
        <f>+-35.3-AM31</f>
        <v>-12.523999999999997</v>
      </c>
      <c r="AN12" s="8">
        <f>+-441.69185-AN31</f>
        <v>-437.06784999999996</v>
      </c>
      <c r="AO12" s="8">
        <v>-213.036598</v>
      </c>
      <c r="AP12" s="8">
        <v>-82.088413999999972</v>
      </c>
      <c r="AQ12" s="8">
        <v>-26.361958999999999</v>
      </c>
      <c r="AR12" s="8">
        <f>+-98.6040510000001-AR31</f>
        <v>-94.004051000000089</v>
      </c>
      <c r="AS12" s="8">
        <f>+-46.773392-AS31</f>
        <v>-43.773392000000001</v>
      </c>
      <c r="AT12" s="8">
        <f>-158.1257201-AT31</f>
        <v>-153.82572009999998</v>
      </c>
      <c r="AU12" s="8">
        <f>-44.7008879-AU31</f>
        <v>-21.000887899999999</v>
      </c>
      <c r="AV12" s="8">
        <f>-181.9-AV31</f>
        <v>-177.1</v>
      </c>
      <c r="AW12" s="8">
        <f>-47.6-AW31</f>
        <v>-25.400000000000002</v>
      </c>
      <c r="AX12" s="51"/>
    </row>
    <row r="13" spans="1:50">
      <c r="A13" s="1">
        <v>8</v>
      </c>
      <c r="B13" s="5" t="s">
        <v>216</v>
      </c>
      <c r="C13" s="8">
        <f t="shared" si="5"/>
        <v>-97.907087000000004</v>
      </c>
      <c r="D13" s="8">
        <f t="shared" si="3"/>
        <v>-44.9</v>
      </c>
      <c r="E13" s="47">
        <f t="shared" si="4"/>
        <v>-0.54140194161838362</v>
      </c>
      <c r="G13" s="56">
        <f t="shared" si="0"/>
        <v>8</v>
      </c>
      <c r="H13" s="5" t="s">
        <v>217</v>
      </c>
      <c r="I13" s="8">
        <v>-48.027000000000001</v>
      </c>
      <c r="J13" s="8">
        <v>-18.8</v>
      </c>
      <c r="K13" s="8">
        <v>-20.3</v>
      </c>
      <c r="L13" s="8">
        <v>-33.9</v>
      </c>
      <c r="M13" s="8">
        <v>-26.3</v>
      </c>
      <c r="N13" s="8">
        <v>-19.755999999999997</v>
      </c>
      <c r="O13" s="8">
        <v>-22.811000000000007</v>
      </c>
      <c r="P13" s="8">
        <v>-225</v>
      </c>
      <c r="Q13" s="8">
        <v>-27.2916144</v>
      </c>
      <c r="R13" s="8">
        <v>-35.178085600000003</v>
      </c>
      <c r="S13" s="8">
        <v>-70.541000000000011</v>
      </c>
      <c r="T13" s="8">
        <v>-61.438103630000001</v>
      </c>
      <c r="U13" s="8">
        <v>-36.849000000000004</v>
      </c>
      <c r="V13" s="8">
        <v>-27.785000000000032</v>
      </c>
      <c r="W13" s="8">
        <v>-32.204999999999977</v>
      </c>
      <c r="X13" s="8">
        <v>-22.740905450000017</v>
      </c>
      <c r="Y13" s="8">
        <v>-40.059999999999995</v>
      </c>
      <c r="Z13" s="8">
        <v>-30.340000000000011</v>
      </c>
      <c r="AA13" s="8">
        <v>-25.699999999999989</v>
      </c>
      <c r="AB13" s="8">
        <f>+-18-AB32</f>
        <v>32.133000000000003</v>
      </c>
      <c r="AC13" s="8">
        <f>+-17.6-AC32</f>
        <v>-17.100000000000001</v>
      </c>
      <c r="AD13" s="8">
        <v>-18.999999999999996</v>
      </c>
      <c r="AE13" s="8">
        <f>+-17.163-AE32</f>
        <v>-17.062999999999999</v>
      </c>
      <c r="AF13" s="8">
        <v>3.2630000000000008</v>
      </c>
      <c r="AG13" s="8">
        <f>+-18.6-AG32</f>
        <v>-14.500000000000002</v>
      </c>
      <c r="AH13" s="8">
        <f>+-18.3-AH32</f>
        <v>-13.700000000000001</v>
      </c>
      <c r="AI13" s="8">
        <f>+-42.3-AI32</f>
        <v>-21.4</v>
      </c>
      <c r="AJ13" s="8">
        <f>+-38.7-AJ32</f>
        <v>-38.6</v>
      </c>
      <c r="AK13" s="8">
        <f>+-11.9-AK32</f>
        <v>-11.397</v>
      </c>
      <c r="AL13" s="8">
        <f>+-64.54-AL32</f>
        <v>-63.443000000000005</v>
      </c>
      <c r="AM13" s="8">
        <f>1047.2-AM32</f>
        <v>1055.52</v>
      </c>
      <c r="AN13" s="8">
        <f>+-41.573046-AN32</f>
        <v>-39.193045999999995</v>
      </c>
      <c r="AO13" s="8">
        <v>-41.212999999999994</v>
      </c>
      <c r="AP13" s="8">
        <v>-44.241773000000009</v>
      </c>
      <c r="AQ13" s="8">
        <v>-67.040999999999997</v>
      </c>
      <c r="AR13" s="8">
        <f>+-100.221788-AR32</f>
        <v>-135.42178799999999</v>
      </c>
      <c r="AS13" s="8">
        <f>+-122.107087-AS32</f>
        <v>-97.907087000000004</v>
      </c>
      <c r="AT13" s="8">
        <f>-34.57718269-AT32</f>
        <v>-29.27718269</v>
      </c>
      <c r="AU13" s="8">
        <f>-106.71573031-AU32</f>
        <v>-102.51573031</v>
      </c>
      <c r="AV13" s="8">
        <f>-145.9-AV32</f>
        <v>-137.5</v>
      </c>
      <c r="AW13" s="8">
        <f>-46.6-AW32</f>
        <v>-44.9</v>
      </c>
      <c r="AX13" s="51"/>
    </row>
    <row r="14" spans="1:50">
      <c r="A14" s="1">
        <v>9</v>
      </c>
      <c r="B14" s="19" t="s">
        <v>218</v>
      </c>
      <c r="C14" s="20">
        <f t="shared" si="5"/>
        <v>-80.198563610183712</v>
      </c>
      <c r="D14" s="20">
        <f t="shared" si="3"/>
        <v>-13.099999999999998</v>
      </c>
      <c r="E14" s="53">
        <f t="shared" si="4"/>
        <v>-0.83665542859751985</v>
      </c>
      <c r="G14" s="56">
        <f t="shared" si="0"/>
        <v>9</v>
      </c>
      <c r="H14" s="19" t="s">
        <v>218</v>
      </c>
      <c r="I14" s="20">
        <v>-48</v>
      </c>
      <c r="J14" s="20">
        <v>130.9</v>
      </c>
      <c r="K14" s="20">
        <v>559.4</v>
      </c>
      <c r="L14" s="20">
        <v>-51.099999999999987</v>
      </c>
      <c r="M14" s="20">
        <v>-16.399999999999995</v>
      </c>
      <c r="N14" s="20">
        <v>96.135000000000005</v>
      </c>
      <c r="O14" s="20">
        <v>183.25</v>
      </c>
      <c r="P14" s="20">
        <v>-8.2833710000000167</v>
      </c>
      <c r="Q14" s="20">
        <v>-2.4379144000000226</v>
      </c>
      <c r="R14" s="20">
        <f t="shared" ref="R14" si="6">SUM(R11:R13)</f>
        <v>-217.23088559999997</v>
      </c>
      <c r="S14" s="20">
        <f t="shared" ref="S14" si="7">SUM(S11:S13)</f>
        <v>-250.978229</v>
      </c>
      <c r="T14" s="20">
        <f t="shared" ref="T14" si="8">SUM(T11:T13)</f>
        <v>69.550125370000018</v>
      </c>
      <c r="U14" s="20">
        <f t="shared" ref="U14" si="9">SUM(U11:U13)</f>
        <v>-20.726000000000013</v>
      </c>
      <c r="V14" s="20">
        <f t="shared" ref="V14:W14" si="10">SUM(V11:V13)</f>
        <v>17.821999999999953</v>
      </c>
      <c r="W14" s="20">
        <f t="shared" si="10"/>
        <v>86.719000000000051</v>
      </c>
      <c r="X14" s="20">
        <f t="shared" ref="X14:AE14" si="11">SUM(X11:X13)</f>
        <v>16.327094549999909</v>
      </c>
      <c r="Y14" s="20">
        <f t="shared" si="11"/>
        <v>79.796999999999997</v>
      </c>
      <c r="Z14" s="20">
        <f t="shared" si="11"/>
        <v>-181.13899999999998</v>
      </c>
      <c r="AA14" s="20">
        <f t="shared" si="11"/>
        <v>97.842000000000041</v>
      </c>
      <c r="AB14" s="20">
        <f t="shared" si="11"/>
        <v>31.286000000000023</v>
      </c>
      <c r="AC14" s="20">
        <f t="shared" si="11"/>
        <v>35.599999999999987</v>
      </c>
      <c r="AD14" s="20">
        <f t="shared" si="11"/>
        <v>-149.30000000000001</v>
      </c>
      <c r="AE14" s="20">
        <f t="shared" si="11"/>
        <v>122.17200000000001</v>
      </c>
      <c r="AF14" s="20">
        <f t="shared" ref="AF14:AH14" si="12">SUM(AF11:AF13)</f>
        <v>8.1279999999999681</v>
      </c>
      <c r="AG14" s="20">
        <f t="shared" si="12"/>
        <v>179.5</v>
      </c>
      <c r="AH14" s="20">
        <f t="shared" si="12"/>
        <v>-135.19999999999999</v>
      </c>
      <c r="AI14" s="20">
        <f t="shared" ref="AI14:AM14" si="13">SUM(AI11:AI13)</f>
        <v>120.99999999999997</v>
      </c>
      <c r="AJ14" s="20">
        <f t="shared" si="13"/>
        <v>-12.699999999999996</v>
      </c>
      <c r="AK14" s="20">
        <f t="shared" si="13"/>
        <v>71.363970000000009</v>
      </c>
      <c r="AL14" s="20">
        <f t="shared" si="13"/>
        <v>-251.11711</v>
      </c>
      <c r="AM14" s="20">
        <f t="shared" si="13"/>
        <v>1116.9169999999999</v>
      </c>
      <c r="AN14" s="20">
        <f>SUM(AN11:AN13)</f>
        <v>-471.16420032000036</v>
      </c>
      <c r="AO14" s="20">
        <f>SUM(AO11:AO13)</f>
        <v>-218.27397992000004</v>
      </c>
      <c r="AP14" s="20">
        <f>SUM(AP11:AP13)</f>
        <v>-214.04684585000012</v>
      </c>
      <c r="AQ14" s="20">
        <f>SUM(AQ11:AQ13)</f>
        <v>206.87290145000009</v>
      </c>
      <c r="AR14" s="20">
        <f>SUM(AR11:AR13)</f>
        <v>-82.175158930000094</v>
      </c>
      <c r="AS14" s="20">
        <f t="shared" ref="AS14:AW14" si="14">SUM(AS11:AS13)</f>
        <v>-80.198563610183712</v>
      </c>
      <c r="AT14" s="20">
        <f t="shared" si="14"/>
        <v>-104.14597592657979</v>
      </c>
      <c r="AU14" s="20">
        <f t="shared" si="14"/>
        <v>219.04453953676403</v>
      </c>
      <c r="AV14" s="20">
        <f t="shared" si="14"/>
        <v>-153.35</v>
      </c>
      <c r="AW14" s="20">
        <f t="shared" si="14"/>
        <v>-13.099999999999998</v>
      </c>
      <c r="AX14" s="51"/>
    </row>
    <row r="15" spans="1:50" ht="8.25" customHeight="1">
      <c r="A15" s="1">
        <v>10</v>
      </c>
      <c r="G15" s="56">
        <f t="shared" si="0"/>
        <v>10</v>
      </c>
      <c r="I15" s="21"/>
      <c r="J15" s="21"/>
      <c r="K15" s="21"/>
      <c r="L15" s="21"/>
      <c r="M15" s="21"/>
      <c r="N15" s="21"/>
      <c r="O15" s="21"/>
      <c r="P15" s="21"/>
      <c r="AX15" s="51"/>
    </row>
    <row r="16" spans="1:50">
      <c r="A16" s="1">
        <v>11</v>
      </c>
      <c r="B16" s="5" t="s">
        <v>219</v>
      </c>
      <c r="C16" s="8">
        <f t="shared" si="5"/>
        <v>-1.9263479999999999</v>
      </c>
      <c r="D16" s="8">
        <f t="shared" si="3"/>
        <v>-20.9</v>
      </c>
      <c r="E16" s="47">
        <f t="shared" si="4"/>
        <v>9.8495453573289975</v>
      </c>
      <c r="G16" s="56">
        <f t="shared" si="0"/>
        <v>11</v>
      </c>
      <c r="H16" s="5" t="s">
        <v>219</v>
      </c>
      <c r="I16" s="8">
        <v>-4</v>
      </c>
      <c r="J16" s="8">
        <v>-1.8</v>
      </c>
      <c r="K16" s="8">
        <v>-18.600000000000001</v>
      </c>
      <c r="L16" s="8">
        <v>5.6</v>
      </c>
      <c r="M16" s="8">
        <v>0.3</v>
      </c>
      <c r="N16" s="8">
        <v>-0.34399999999999997</v>
      </c>
      <c r="O16" s="8">
        <v>-5.1320000000000006</v>
      </c>
      <c r="P16" s="8">
        <v>-1.5</v>
      </c>
      <c r="Q16" s="17">
        <v>6.6130000000000004</v>
      </c>
      <c r="R16" s="17">
        <v>2.4139999999999988</v>
      </c>
      <c r="S16" s="17">
        <v>0.44600000000000151</v>
      </c>
      <c r="T16" s="17">
        <v>-2.0370000000000008</v>
      </c>
      <c r="U16" s="17">
        <v>0.96800000000000008</v>
      </c>
      <c r="V16" s="8">
        <v>-0.37600000000000011</v>
      </c>
      <c r="W16" s="8">
        <v>3.2140000000000004</v>
      </c>
      <c r="X16" s="8">
        <v>8.4310000000000009</v>
      </c>
      <c r="Y16" s="8">
        <v>3.0279999999999996</v>
      </c>
      <c r="Z16" s="8">
        <v>-15.776</v>
      </c>
      <c r="AA16" s="8">
        <v>-2.8520000000000016</v>
      </c>
      <c r="AB16" s="8">
        <f>+-5.6-AB35</f>
        <v>-5.1214999999999993</v>
      </c>
      <c r="AC16" s="8">
        <f>3-AC35</f>
        <v>2.7</v>
      </c>
      <c r="AD16" s="8">
        <v>-3.6</v>
      </c>
      <c r="AE16" s="8">
        <f>+-5.466-AE35</f>
        <v>-5.1660000000000004</v>
      </c>
      <c r="AF16" s="8">
        <v>-1.4340000000000006</v>
      </c>
      <c r="AG16" s="8">
        <f>+-2.7-AG35</f>
        <v>-2.1</v>
      </c>
      <c r="AH16" s="8">
        <f>+-2.9-AH35</f>
        <v>-2.6999999999999997</v>
      </c>
      <c r="AI16" s="8">
        <f>4.2-AI35</f>
        <v>4.5</v>
      </c>
      <c r="AJ16" s="8">
        <f>10.4-AJ35</f>
        <v>10.5</v>
      </c>
      <c r="AK16" s="8">
        <f>+-2.079-AK35</f>
        <v>-1.7330000000000001</v>
      </c>
      <c r="AL16" s="8">
        <f>2.1-AL35</f>
        <v>2.0540000000000003</v>
      </c>
      <c r="AM16" s="8">
        <f>+-10.3-AM35</f>
        <v>-9.2520000000000007</v>
      </c>
      <c r="AN16" s="8">
        <f>+-1.419424-AN35</f>
        <v>-2.0174240000000001</v>
      </c>
      <c r="AO16" s="8">
        <v>2.1163280000000002</v>
      </c>
      <c r="AP16" s="8">
        <v>-10.414251</v>
      </c>
      <c r="AQ16" s="8">
        <v>-6.845170230000349</v>
      </c>
      <c r="AR16" s="8">
        <f>+-0.877946000000001-AR35</f>
        <v>-1.0348527699996519</v>
      </c>
      <c r="AS16" s="8">
        <f>+-1.581348-AS35</f>
        <v>-1.9263479999999999</v>
      </c>
      <c r="AT16" s="8">
        <f>1.9-AT35</f>
        <v>1.2109999999999999</v>
      </c>
      <c r="AU16" s="8">
        <f>-9.177652-AU35</f>
        <v>-8.3656520000000008</v>
      </c>
      <c r="AV16" s="8">
        <f>7.9-AV35</f>
        <v>8</v>
      </c>
      <c r="AW16" s="8">
        <f>-21.4-AW35</f>
        <v>-20.9</v>
      </c>
      <c r="AX16" s="51"/>
    </row>
    <row r="17" spans="1:50" ht="8.25" customHeight="1">
      <c r="A17" s="1">
        <v>12</v>
      </c>
      <c r="G17" s="56">
        <f t="shared" si="0"/>
        <v>12</v>
      </c>
      <c r="I17" s="21"/>
      <c r="J17" s="21"/>
      <c r="K17" s="21"/>
      <c r="L17" s="21"/>
      <c r="M17" s="21"/>
      <c r="N17" s="21"/>
      <c r="O17" s="21"/>
      <c r="P17" s="21"/>
      <c r="AX17" s="51"/>
    </row>
    <row r="18" spans="1:50">
      <c r="A18" s="1">
        <v>13</v>
      </c>
      <c r="B18" s="6" t="s">
        <v>220</v>
      </c>
      <c r="C18" s="9">
        <f t="shared" si="5"/>
        <v>985.32754586981616</v>
      </c>
      <c r="D18" s="9">
        <f t="shared" si="3"/>
        <v>913.52394420999997</v>
      </c>
      <c r="E18" s="66">
        <f>D18/C18-1</f>
        <v>-7.2872824839612327E-2</v>
      </c>
      <c r="G18" s="56">
        <f t="shared" si="0"/>
        <v>13</v>
      </c>
      <c r="H18" s="6" t="s">
        <v>220</v>
      </c>
      <c r="I18" s="9">
        <v>208.29999999999998</v>
      </c>
      <c r="J18" s="9">
        <v>337.4</v>
      </c>
      <c r="K18" s="9">
        <v>878.3</v>
      </c>
      <c r="L18" s="9">
        <v>832.8</v>
      </c>
      <c r="M18" s="9">
        <v>816.69999999999993</v>
      </c>
      <c r="N18" s="9">
        <v>912.49099999999987</v>
      </c>
      <c r="O18" s="9">
        <v>1090.6089999999999</v>
      </c>
      <c r="P18" s="9">
        <v>1080.8256289999999</v>
      </c>
      <c r="Q18" s="9">
        <v>1042.8013145999998</v>
      </c>
      <c r="R18" s="9">
        <v>827.98442899999998</v>
      </c>
      <c r="S18" s="9">
        <v>577.45219999999995</v>
      </c>
      <c r="T18" s="9">
        <v>644.96532536999996</v>
      </c>
      <c r="U18" s="9">
        <f t="shared" ref="U18:Z18" si="15">U16+U14+U9</f>
        <v>625.20732536999992</v>
      </c>
      <c r="V18" s="9">
        <f t="shared" si="15"/>
        <v>642.65332536999983</v>
      </c>
      <c r="W18" s="9">
        <f t="shared" si="15"/>
        <v>732.58632536999994</v>
      </c>
      <c r="X18" s="9">
        <f t="shared" si="15"/>
        <v>757.34441991999984</v>
      </c>
      <c r="Y18" s="9">
        <f t="shared" si="15"/>
        <v>840.16941991999988</v>
      </c>
      <c r="Z18" s="9">
        <f t="shared" si="15"/>
        <v>643.25441991999992</v>
      </c>
      <c r="AA18" s="9">
        <f t="shared" ref="AA18:AH18" si="16">AA16+AA14+AA9</f>
        <v>738.24441991999993</v>
      </c>
      <c r="AB18" s="9">
        <f t="shared" si="16"/>
        <v>764.4089199199999</v>
      </c>
      <c r="AC18" s="9">
        <f t="shared" si="16"/>
        <v>802.70891991999986</v>
      </c>
      <c r="AD18" s="9">
        <f t="shared" si="16"/>
        <v>649.80891991999988</v>
      </c>
      <c r="AE18" s="9">
        <f t="shared" si="16"/>
        <v>766.85041992000004</v>
      </c>
      <c r="AF18" s="9">
        <f t="shared" si="16"/>
        <v>773.54441991999988</v>
      </c>
      <c r="AG18" s="9">
        <f t="shared" si="16"/>
        <v>951.04969842999992</v>
      </c>
      <c r="AH18" s="9">
        <f t="shared" si="16"/>
        <v>813.14969842999994</v>
      </c>
      <c r="AI18" s="9">
        <f t="shared" ref="AI18:AO18" si="17">AI16+AI14+AI9</f>
        <v>938.64969842999994</v>
      </c>
      <c r="AJ18" s="9">
        <f t="shared" si="17"/>
        <v>936.4496984299999</v>
      </c>
      <c r="AK18" s="9">
        <f>1027.9-AK37</f>
        <v>1006.1283000000001</v>
      </c>
      <c r="AL18" s="9">
        <f t="shared" si="17"/>
        <v>757.01755843000001</v>
      </c>
      <c r="AM18" s="9">
        <f t="shared" si="17"/>
        <v>1864.68255843</v>
      </c>
      <c r="AN18" s="9">
        <f t="shared" si="17"/>
        <v>1391.5009341099997</v>
      </c>
      <c r="AO18" s="9">
        <f t="shared" si="17"/>
        <v>1175.0958348099998</v>
      </c>
      <c r="AP18" s="9">
        <f>AP16+AP14+AP9</f>
        <v>950.63473795999971</v>
      </c>
      <c r="AQ18" s="9">
        <f>AQ16+AQ14+AQ9</f>
        <v>1150.6624691799993</v>
      </c>
      <c r="AR18" s="9">
        <f>+AR9+AR14+AR16</f>
        <v>1067.4524574799998</v>
      </c>
      <c r="AS18" s="9">
        <f>+AS9+AS14+AS16</f>
        <v>985.32754586981616</v>
      </c>
      <c r="AT18" s="9">
        <f>+AT9+AT14+AT16</f>
        <v>882.39256994323637</v>
      </c>
      <c r="AU18" s="9">
        <f>1170.7003818-AU37</f>
        <v>1092.87394421</v>
      </c>
      <c r="AV18" s="9">
        <f>+AV9+AV14+AV16</f>
        <v>947.52394420999997</v>
      </c>
      <c r="AW18" s="9">
        <f>+AW9+AW14+AW16</f>
        <v>913.52394420999997</v>
      </c>
      <c r="AX18" s="51"/>
    </row>
    <row r="19" spans="1:50">
      <c r="AK19" s="51"/>
    </row>
    <row r="23" spans="1:50" ht="23.5">
      <c r="B23" s="11" t="s">
        <v>37</v>
      </c>
      <c r="C23" s="12"/>
      <c r="D23" s="12"/>
      <c r="E23" s="12"/>
      <c r="H23" s="11" t="s">
        <v>37</v>
      </c>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row>
    <row r="25" spans="1:50">
      <c r="A25" s="1">
        <v>1</v>
      </c>
      <c r="B25" s="3" t="s">
        <v>210</v>
      </c>
      <c r="C25" s="139" t="str">
        <f>C6</f>
        <v>1Q23</v>
      </c>
      <c r="D25" s="139" t="str">
        <f>D6</f>
        <v>1Q24</v>
      </c>
      <c r="E25" s="139" t="s">
        <v>75</v>
      </c>
      <c r="G25" s="56">
        <v>1</v>
      </c>
      <c r="H25" s="3" t="s">
        <v>210</v>
      </c>
      <c r="I25" s="139" t="s">
        <v>77</v>
      </c>
      <c r="J25" s="139" t="s">
        <v>78</v>
      </c>
      <c r="K25" s="139" t="s">
        <v>79</v>
      </c>
      <c r="L25" s="139" t="s">
        <v>80</v>
      </c>
      <c r="M25" s="139" t="s">
        <v>81</v>
      </c>
      <c r="N25" s="139" t="s">
        <v>82</v>
      </c>
      <c r="O25" s="139" t="s">
        <v>83</v>
      </c>
      <c r="P25" s="139" t="s">
        <v>84</v>
      </c>
      <c r="Q25" s="139" t="s">
        <v>85</v>
      </c>
      <c r="R25" s="139" t="s">
        <v>86</v>
      </c>
      <c r="S25" s="139" t="s">
        <v>87</v>
      </c>
      <c r="T25" s="139" t="s">
        <v>88</v>
      </c>
      <c r="U25" s="139" t="s">
        <v>89</v>
      </c>
      <c r="V25" s="139" t="s">
        <v>90</v>
      </c>
      <c r="W25" s="139" t="s">
        <v>91</v>
      </c>
      <c r="X25" s="139" t="s">
        <v>92</v>
      </c>
      <c r="Y25" s="139" t="s">
        <v>93</v>
      </c>
      <c r="Z25" s="139" t="s">
        <v>94</v>
      </c>
      <c r="AA25" s="139" t="s">
        <v>95</v>
      </c>
      <c r="AB25" s="139" t="s">
        <v>96</v>
      </c>
      <c r="AC25" s="139" t="s">
        <v>97</v>
      </c>
      <c r="AD25" s="139" t="s">
        <v>98</v>
      </c>
      <c r="AE25" s="139" t="s">
        <v>99</v>
      </c>
      <c r="AF25" s="139" t="s">
        <v>100</v>
      </c>
      <c r="AG25" s="139" t="s">
        <v>101</v>
      </c>
      <c r="AH25" s="139" t="s">
        <v>102</v>
      </c>
      <c r="AI25" s="139" t="s">
        <v>103</v>
      </c>
      <c r="AJ25" s="139" t="s">
        <v>104</v>
      </c>
      <c r="AK25" s="139" t="s">
        <v>105</v>
      </c>
      <c r="AL25" s="139" t="s">
        <v>106</v>
      </c>
      <c r="AM25" s="139" t="s">
        <v>107</v>
      </c>
      <c r="AN25" s="139" t="s">
        <v>108</v>
      </c>
      <c r="AO25" s="139" t="s">
        <v>109</v>
      </c>
      <c r="AP25" s="139" t="s">
        <v>110</v>
      </c>
      <c r="AQ25" s="139" t="s">
        <v>111</v>
      </c>
      <c r="AR25" s="139" t="s">
        <v>112</v>
      </c>
      <c r="AS25" s="139" t="s">
        <v>73</v>
      </c>
      <c r="AT25" s="139" t="s">
        <v>113</v>
      </c>
      <c r="AU25" s="139" t="s">
        <v>114</v>
      </c>
      <c r="AV25" s="139" t="s">
        <v>115</v>
      </c>
      <c r="AW25" s="141" t="s">
        <v>74</v>
      </c>
      <c r="AX25" s="51"/>
    </row>
    <row r="26" spans="1:50">
      <c r="A26" s="1">
        <v>2</v>
      </c>
      <c r="B26" s="3" t="s">
        <v>141</v>
      </c>
      <c r="C26" s="139"/>
      <c r="D26" s="139"/>
      <c r="E26" s="139"/>
      <c r="G26" s="56">
        <f>G25+1</f>
        <v>2</v>
      </c>
      <c r="H26" s="3" t="s">
        <v>141</v>
      </c>
      <c r="I26" s="139"/>
      <c r="J26" s="139"/>
      <c r="K26" s="139"/>
      <c r="L26" s="139"/>
      <c r="M26" s="139"/>
      <c r="N26" s="139"/>
      <c r="O26" s="139"/>
      <c r="P26" s="139"/>
      <c r="Q26" s="139"/>
      <c r="R26" s="139"/>
      <c r="S26" s="139"/>
      <c r="T26" s="139"/>
      <c r="U26" s="139"/>
      <c r="V26" s="139"/>
      <c r="W26" s="139"/>
      <c r="X26" s="139"/>
      <c r="Y26" s="139"/>
      <c r="Z26" s="139"/>
      <c r="AA26" s="139"/>
      <c r="AB26" s="139"/>
      <c r="AC26" s="139"/>
      <c r="AD26" s="139"/>
      <c r="AE26" s="139"/>
      <c r="AF26" s="139"/>
      <c r="AG26" s="139"/>
      <c r="AH26" s="139"/>
      <c r="AI26" s="139"/>
      <c r="AJ26" s="139"/>
      <c r="AK26" s="139"/>
      <c r="AL26" s="139"/>
      <c r="AM26" s="139"/>
      <c r="AN26" s="139"/>
      <c r="AO26" s="139"/>
      <c r="AP26" s="139"/>
      <c r="AQ26" s="139"/>
      <c r="AR26" s="139"/>
      <c r="AS26" s="139"/>
      <c r="AT26" s="139"/>
      <c r="AU26" s="139"/>
      <c r="AV26" s="139"/>
      <c r="AW26" s="141"/>
    </row>
    <row r="27" spans="1:50">
      <c r="A27" s="1">
        <v>3</v>
      </c>
      <c r="G27" s="56">
        <f t="shared" ref="G27:G37" si="18">G26+1</f>
        <v>3</v>
      </c>
    </row>
    <row r="28" spans="1:50">
      <c r="A28" s="1">
        <v>4</v>
      </c>
      <c r="B28" s="6" t="s">
        <v>211</v>
      </c>
      <c r="C28" s="9">
        <f t="shared" ref="C28" si="19">HLOOKUP($C$25,$H$25:$BO$37,$G28,FALSE)</f>
        <v>87.204437590000168</v>
      </c>
      <c r="D28" s="9">
        <f>HLOOKUP($D$25,$H$25:$BO$37,$G28,FALSE)</f>
        <v>83.526437590000171</v>
      </c>
      <c r="E28" s="37">
        <f>D28/C28-1</f>
        <v>-4.2176752716329147E-2</v>
      </c>
      <c r="G28" s="56">
        <f t="shared" si="18"/>
        <v>4</v>
      </c>
      <c r="H28" s="6" t="s">
        <v>212</v>
      </c>
      <c r="I28" s="18"/>
      <c r="J28" s="18"/>
      <c r="K28" s="18"/>
      <c r="L28" s="18"/>
      <c r="M28" s="18"/>
      <c r="N28" s="18"/>
      <c r="O28" s="18"/>
      <c r="P28" s="18"/>
      <c r="Q28" s="9">
        <v>42.199399999999997</v>
      </c>
      <c r="R28" s="9">
        <v>39.150300000000001</v>
      </c>
      <c r="S28" s="9">
        <v>40.120200000000004</v>
      </c>
      <c r="T28" s="9">
        <v>42.754200000000004</v>
      </c>
      <c r="U28" s="9">
        <v>22.031700000000008</v>
      </c>
      <c r="V28" s="9">
        <v>38.978700000000003</v>
      </c>
      <c r="W28" s="9">
        <v>37.817700000000002</v>
      </c>
      <c r="X28" s="9">
        <v>43.233699999999999</v>
      </c>
      <c r="Y28" s="9">
        <f>X37</f>
        <v>52.870699999999999</v>
      </c>
      <c r="Z28" s="9">
        <f>Y37</f>
        <v>40.570700000000002</v>
      </c>
      <c r="AA28" s="9">
        <f>Z37</f>
        <v>52.370699999999999</v>
      </c>
      <c r="AB28" s="9">
        <f>+AA37</f>
        <v>46.370699999999999</v>
      </c>
      <c r="AC28" s="9">
        <v>23.670700000000004</v>
      </c>
      <c r="AD28" s="9">
        <v>12.970700000000004</v>
      </c>
      <c r="AE28" s="9">
        <v>17.470700000000004</v>
      </c>
      <c r="AF28" s="9">
        <v>13.370700000000005</v>
      </c>
      <c r="AG28" s="9">
        <f t="shared" ref="AG28:AH28" si="20">+AF37</f>
        <v>23.770700000000005</v>
      </c>
      <c r="AH28" s="9">
        <f t="shared" si="20"/>
        <v>28.670700000000004</v>
      </c>
      <c r="AI28" s="9">
        <f>+AH37</f>
        <v>40.970700000000001</v>
      </c>
      <c r="AJ28" s="9">
        <v>27.37070000000001</v>
      </c>
      <c r="AK28" s="9">
        <v>30.970700000000008</v>
      </c>
      <c r="AL28" s="9">
        <f>+AK37</f>
        <v>21.771700000000006</v>
      </c>
      <c r="AM28" s="9">
        <f>+AL37</f>
        <v>33.070700000000002</v>
      </c>
      <c r="AN28" s="9">
        <f>+AM37</f>
        <v>21.305700000000009</v>
      </c>
      <c r="AO28" s="9">
        <v>27.9</v>
      </c>
      <c r="AP28" s="9">
        <v>23.4</v>
      </c>
      <c r="AQ28" s="9">
        <v>39.199999999999989</v>
      </c>
      <c r="AR28" s="9">
        <v>25.24753082000052</v>
      </c>
      <c r="AS28" s="9">
        <f>AR37</f>
        <v>87.204437590000168</v>
      </c>
      <c r="AT28" s="9">
        <f>AS37</f>
        <v>76.74943759000017</v>
      </c>
      <c r="AU28" s="9">
        <v>67.538437590000171</v>
      </c>
      <c r="AV28" s="9">
        <f>AU37</f>
        <v>77.826437590000168</v>
      </c>
      <c r="AW28" s="9">
        <f>AV37</f>
        <v>83.526437590000171</v>
      </c>
    </row>
    <row r="29" spans="1:50" ht="8.25" customHeight="1">
      <c r="A29" s="1">
        <v>5</v>
      </c>
      <c r="G29" s="56">
        <f t="shared" si="18"/>
        <v>5</v>
      </c>
      <c r="I29" s="21"/>
      <c r="J29" s="21"/>
      <c r="K29" s="21"/>
      <c r="L29" s="21"/>
      <c r="M29" s="21"/>
      <c r="N29" s="21"/>
      <c r="O29" s="21"/>
      <c r="P29" s="21"/>
    </row>
    <row r="30" spans="1:50">
      <c r="A30" s="1">
        <v>6</v>
      </c>
      <c r="B30" s="5" t="s">
        <v>213</v>
      </c>
      <c r="C30" s="8">
        <f>HLOOKUP($C$25,$H$25:$BO$37,$G30,FALSE)</f>
        <v>16.400000000000002</v>
      </c>
      <c r="D30" s="8">
        <f t="shared" ref="D30:D37" si="21">HLOOKUP($D$25,$H$25:$BO$37,$G30,FALSE)</f>
        <v>17.499999999999996</v>
      </c>
      <c r="E30" s="36">
        <f t="shared" ref="E30:E35" si="22">+D30/C30-1</f>
        <v>6.7073170731706933E-2</v>
      </c>
      <c r="G30" s="56">
        <f t="shared" si="18"/>
        <v>6</v>
      </c>
      <c r="H30" s="5" t="s">
        <v>213</v>
      </c>
      <c r="I30" s="17"/>
      <c r="J30" s="17"/>
      <c r="K30" s="17"/>
      <c r="L30" s="17"/>
      <c r="M30" s="17"/>
      <c r="N30" s="17"/>
      <c r="O30" s="17"/>
      <c r="P30" s="17"/>
      <c r="Q30" s="8">
        <v>5.9664000000000001</v>
      </c>
      <c r="R30" s="8">
        <v>2.9929000000000006</v>
      </c>
      <c r="S30" s="8">
        <v>8.0600999999999985</v>
      </c>
      <c r="T30" s="8">
        <v>-1.1653000000000002</v>
      </c>
      <c r="U30" s="8">
        <v>24.838000000000001</v>
      </c>
      <c r="V30" s="8">
        <v>5.1729999999999983</v>
      </c>
      <c r="W30" s="8">
        <v>25.257000000000001</v>
      </c>
      <c r="X30" s="8">
        <v>21.855999999999995</v>
      </c>
      <c r="Y30" s="8">
        <v>9.1999999999999993</v>
      </c>
      <c r="Z30" s="8">
        <v>15.1</v>
      </c>
      <c r="AA30" s="8">
        <v>7.6</v>
      </c>
      <c r="AB30" s="8">
        <v>1.6910000000000025</v>
      </c>
      <c r="AC30" s="8">
        <v>3.4</v>
      </c>
      <c r="AD30" s="8">
        <v>20.7</v>
      </c>
      <c r="AE30" s="8">
        <v>13.7</v>
      </c>
      <c r="AF30" s="8">
        <v>18</v>
      </c>
      <c r="AG30" s="8">
        <v>8.5</v>
      </c>
      <c r="AH30" s="8">
        <v>16.5</v>
      </c>
      <c r="AI30" s="8">
        <v>29</v>
      </c>
      <c r="AJ30" s="8">
        <v>9.5</v>
      </c>
      <c r="AK30" s="8">
        <v>15.1</v>
      </c>
      <c r="AL30" s="8">
        <v>17.199999999999996</v>
      </c>
      <c r="AM30" s="8">
        <f>52.679-AL30-AK30</f>
        <v>20.379000000000005</v>
      </c>
      <c r="AN30" s="8">
        <f>65.5-SUM(AK30:AM30)</f>
        <v>12.820999999999998</v>
      </c>
      <c r="AO30" s="8">
        <v>20.3</v>
      </c>
      <c r="AP30" s="8">
        <v>22.699999999999992</v>
      </c>
      <c r="AQ30" s="8">
        <v>22.000000000000007</v>
      </c>
      <c r="AR30" s="8">
        <f>96.2-SUM(AO30:AQ30)</f>
        <v>31.200000000000003</v>
      </c>
      <c r="AS30" s="8">
        <v>16.400000000000002</v>
      </c>
      <c r="AT30" s="8">
        <v>-0.29999999999999893</v>
      </c>
      <c r="AU30" s="8">
        <v>39</v>
      </c>
      <c r="AV30" s="8">
        <v>19</v>
      </c>
      <c r="AW30" s="8">
        <v>17.499999999999996</v>
      </c>
      <c r="AX30" s="51"/>
    </row>
    <row r="31" spans="1:50">
      <c r="A31" s="1">
        <v>7</v>
      </c>
      <c r="B31" s="5" t="s">
        <v>221</v>
      </c>
      <c r="C31" s="8">
        <f t="shared" ref="C31:C37" si="23">HLOOKUP($C$25,$H$25:$BO$37,$G31,FALSE)</f>
        <v>-3</v>
      </c>
      <c r="D31" s="8">
        <f t="shared" si="21"/>
        <v>-22.2</v>
      </c>
      <c r="E31" s="36">
        <f t="shared" si="22"/>
        <v>6.3999999999999995</v>
      </c>
      <c r="G31" s="56">
        <f t="shared" si="18"/>
        <v>7</v>
      </c>
      <c r="H31" s="5" t="s">
        <v>215</v>
      </c>
      <c r="I31" s="17"/>
      <c r="J31" s="17"/>
      <c r="K31" s="17"/>
      <c r="L31" s="17"/>
      <c r="M31" s="17"/>
      <c r="N31" s="17"/>
      <c r="O31" s="17"/>
      <c r="P31" s="17"/>
      <c r="Q31" s="8">
        <v>-8.8450999999999986</v>
      </c>
      <c r="R31" s="8">
        <v>-0.5151</v>
      </c>
      <c r="S31" s="8">
        <v>-4.3264999999999993</v>
      </c>
      <c r="T31" s="8">
        <v>-18.684299999999997</v>
      </c>
      <c r="U31" s="8">
        <v>-4.7039999999999997</v>
      </c>
      <c r="V31" s="8">
        <v>-3.0090000000000003</v>
      </c>
      <c r="W31" s="8">
        <v>-17.099</v>
      </c>
      <c r="X31" s="8">
        <v>-9.5029999999999966</v>
      </c>
      <c r="Y31" s="8">
        <v>-18</v>
      </c>
      <c r="Z31" s="8">
        <v>-0.7</v>
      </c>
      <c r="AA31" s="8">
        <v>-13</v>
      </c>
      <c r="AB31" s="8">
        <v>26.256</v>
      </c>
      <c r="AC31" s="8">
        <v>-13.9</v>
      </c>
      <c r="AD31" s="8">
        <v>-6.7</v>
      </c>
      <c r="AE31" s="8">
        <v>-17.399999999999999</v>
      </c>
      <c r="AF31" s="8">
        <v>-4.3</v>
      </c>
      <c r="AG31" s="8">
        <v>1.1000000000000001</v>
      </c>
      <c r="AH31" s="8">
        <v>0.6</v>
      </c>
      <c r="AI31" s="8">
        <v>-21.4</v>
      </c>
      <c r="AJ31" s="8">
        <v>-5.7</v>
      </c>
      <c r="AK31" s="8">
        <v>-23.45</v>
      </c>
      <c r="AL31" s="8">
        <v>-4.8500000000000014</v>
      </c>
      <c r="AM31" s="8">
        <f>+-51.076-AL31-AK31</f>
        <v>-22.776</v>
      </c>
      <c r="AN31" s="8">
        <f>-55.7-SUM(AK31:AM31)</f>
        <v>-4.6240000000000023</v>
      </c>
      <c r="AO31" s="8">
        <v>-24</v>
      </c>
      <c r="AP31" s="8">
        <v>-5</v>
      </c>
      <c r="AQ31" s="8">
        <v>-23.8</v>
      </c>
      <c r="AR31" s="8">
        <f>+-57.4-SUM(AO31:AQ31)</f>
        <v>-4.6000000000000014</v>
      </c>
      <c r="AS31" s="8">
        <v>-3</v>
      </c>
      <c r="AT31" s="8">
        <v>-4.3000000000000007</v>
      </c>
      <c r="AU31" s="8">
        <v>-23.7</v>
      </c>
      <c r="AV31" s="8">
        <v>-4.8</v>
      </c>
      <c r="AW31" s="8">
        <v>-22.2</v>
      </c>
    </row>
    <row r="32" spans="1:50">
      <c r="A32" s="1">
        <v>8</v>
      </c>
      <c r="B32" s="5" t="s">
        <v>217</v>
      </c>
      <c r="C32" s="8">
        <f t="shared" si="23"/>
        <v>-24.2</v>
      </c>
      <c r="D32" s="8">
        <f t="shared" si="21"/>
        <v>-1.7000000000000002</v>
      </c>
      <c r="E32" s="36">
        <f t="shared" si="22"/>
        <v>-0.92975206611570249</v>
      </c>
      <c r="G32" s="56">
        <f t="shared" si="18"/>
        <v>8</v>
      </c>
      <c r="H32" s="5" t="s">
        <v>217</v>
      </c>
      <c r="I32" s="17"/>
      <c r="J32" s="17"/>
      <c r="K32" s="17"/>
      <c r="L32" s="17"/>
      <c r="M32" s="17"/>
      <c r="N32" s="17"/>
      <c r="O32" s="17"/>
      <c r="P32" s="17"/>
      <c r="Q32" s="8">
        <v>-0.1704</v>
      </c>
      <c r="R32" s="8">
        <v>-1.5079</v>
      </c>
      <c r="S32" s="8">
        <v>-1.0996000000000001</v>
      </c>
      <c r="T32" s="8">
        <v>-0.87290000000000001</v>
      </c>
      <c r="U32" s="8">
        <v>-3.5649999999999999</v>
      </c>
      <c r="V32" s="8">
        <v>-3.3409999999999997</v>
      </c>
      <c r="W32" s="8">
        <v>-1.5170000000000003</v>
      </c>
      <c r="X32" s="8">
        <v>-1.0719999999999992</v>
      </c>
      <c r="Y32" s="8">
        <v>-2.1</v>
      </c>
      <c r="Z32" s="8">
        <v>-1.9</v>
      </c>
      <c r="AA32" s="8">
        <v>-0.5</v>
      </c>
      <c r="AB32" s="8">
        <v>-50.133000000000003</v>
      </c>
      <c r="AC32" s="8">
        <v>-0.5</v>
      </c>
      <c r="AD32" s="8">
        <v>-9.6999999999999993</v>
      </c>
      <c r="AE32" s="8">
        <v>-0.1</v>
      </c>
      <c r="AF32" s="8">
        <v>-3.8</v>
      </c>
      <c r="AG32" s="8">
        <v>-4.0999999999999996</v>
      </c>
      <c r="AH32" s="8">
        <v>-4.5999999999999996</v>
      </c>
      <c r="AI32" s="8">
        <v>-20.9</v>
      </c>
      <c r="AJ32" s="8">
        <v>-0.1</v>
      </c>
      <c r="AK32" s="8">
        <v>-0.503</v>
      </c>
      <c r="AL32" s="8">
        <v>-1.097</v>
      </c>
      <c r="AM32" s="8">
        <f>+-9.92-AL32-AK32</f>
        <v>-8.32</v>
      </c>
      <c r="AN32" s="8">
        <f>-12.3-SUM(AK32:AM32)</f>
        <v>-2.3800000000000008</v>
      </c>
      <c r="AO32" s="8">
        <v>-2.2000000000000002</v>
      </c>
      <c r="AP32" s="8">
        <v>-1.6999999999999997</v>
      </c>
      <c r="AQ32" s="8">
        <v>-11.6</v>
      </c>
      <c r="AR32" s="8">
        <v>35.199999999999996</v>
      </c>
      <c r="AS32" s="8">
        <v>-24.2</v>
      </c>
      <c r="AT32" s="8">
        <v>-5.3000000000000007</v>
      </c>
      <c r="AU32" s="8">
        <v>-4.2</v>
      </c>
      <c r="AV32" s="8">
        <v>-8.4</v>
      </c>
      <c r="AW32" s="8">
        <v>-1.7000000000000002</v>
      </c>
    </row>
    <row r="33" spans="1:50">
      <c r="A33" s="1">
        <v>9</v>
      </c>
      <c r="B33" s="19" t="s">
        <v>218</v>
      </c>
      <c r="C33" s="20">
        <f t="shared" si="23"/>
        <v>-10.799999999999997</v>
      </c>
      <c r="D33" s="20">
        <f t="shared" si="21"/>
        <v>-6.400000000000003</v>
      </c>
      <c r="E33" s="53" t="s">
        <v>132</v>
      </c>
      <c r="G33" s="56">
        <f t="shared" si="18"/>
        <v>9</v>
      </c>
      <c r="H33" s="19" t="s">
        <v>218</v>
      </c>
      <c r="I33" s="22"/>
      <c r="J33" s="22"/>
      <c r="K33" s="22"/>
      <c r="L33" s="22"/>
      <c r="M33" s="22"/>
      <c r="N33" s="22"/>
      <c r="O33" s="22"/>
      <c r="P33" s="22"/>
      <c r="Q33" s="20">
        <v>-3.0490999999999984</v>
      </c>
      <c r="R33" s="20">
        <v>0.96990000000000065</v>
      </c>
      <c r="S33" s="20">
        <f t="shared" ref="S33" si="24">SUM(S30:S32)</f>
        <v>2.633999999999999</v>
      </c>
      <c r="T33" s="20">
        <f t="shared" ref="T33" si="25">SUM(T30:T32)</f>
        <v>-20.722499999999997</v>
      </c>
      <c r="U33" s="20">
        <f t="shared" ref="U33" si="26">SUM(U30:U32)</f>
        <v>16.568999999999999</v>
      </c>
      <c r="V33" s="20">
        <f t="shared" ref="V33:X33" si="27">SUM(V30:V32)</f>
        <v>-1.1770000000000018</v>
      </c>
      <c r="W33" s="20">
        <f t="shared" si="27"/>
        <v>6.6410000000000009</v>
      </c>
      <c r="X33" s="20">
        <f t="shared" si="27"/>
        <v>11.280999999999999</v>
      </c>
      <c r="Y33" s="20">
        <f>SUM(Y30:Y32)</f>
        <v>-10.9</v>
      </c>
      <c r="Z33" s="20">
        <v>12.5</v>
      </c>
      <c r="AA33" s="20">
        <v>-5.9</v>
      </c>
      <c r="AB33" s="20">
        <f t="shared" ref="AB33:AR33" si="28">+AB30+AB31+AB32</f>
        <v>-22.186</v>
      </c>
      <c r="AC33" s="20">
        <f t="shared" si="28"/>
        <v>-11</v>
      </c>
      <c r="AD33" s="20">
        <f t="shared" si="28"/>
        <v>4.3000000000000007</v>
      </c>
      <c r="AE33" s="20">
        <f t="shared" si="28"/>
        <v>-3.7999999999999994</v>
      </c>
      <c r="AF33" s="20">
        <f t="shared" si="28"/>
        <v>9.8999999999999986</v>
      </c>
      <c r="AG33" s="20">
        <f t="shared" si="28"/>
        <v>5.5</v>
      </c>
      <c r="AH33" s="20">
        <f t="shared" si="28"/>
        <v>12.500000000000002</v>
      </c>
      <c r="AI33" s="20">
        <f t="shared" si="28"/>
        <v>-13.299999999999997</v>
      </c>
      <c r="AJ33" s="20">
        <f t="shared" si="28"/>
        <v>3.6999999999999997</v>
      </c>
      <c r="AK33" s="20">
        <f t="shared" si="28"/>
        <v>-8.8529999999999998</v>
      </c>
      <c r="AL33" s="20">
        <f t="shared" si="28"/>
        <v>11.252999999999995</v>
      </c>
      <c r="AM33" s="20">
        <f t="shared" si="28"/>
        <v>-10.716999999999995</v>
      </c>
      <c r="AN33" s="20">
        <f t="shared" si="28"/>
        <v>5.8169999999999948</v>
      </c>
      <c r="AO33" s="20">
        <f t="shared" si="28"/>
        <v>-5.8999999999999995</v>
      </c>
      <c r="AP33" s="20">
        <f t="shared" si="28"/>
        <v>15.999999999999993</v>
      </c>
      <c r="AQ33" s="20">
        <f t="shared" si="28"/>
        <v>-13.399999999999993</v>
      </c>
      <c r="AR33" s="20">
        <f t="shared" si="28"/>
        <v>61.8</v>
      </c>
      <c r="AS33" s="20">
        <f>+AS30+AS31+AS32</f>
        <v>-10.799999999999997</v>
      </c>
      <c r="AT33" s="20">
        <f>+AT30+AT31+AT32</f>
        <v>-9.9</v>
      </c>
      <c r="AU33" s="20">
        <f>+AU30+AU31+AU32</f>
        <v>11.100000000000001</v>
      </c>
      <c r="AV33" s="20">
        <f>+AV30+AV31+AV32</f>
        <v>5.7999999999999989</v>
      </c>
      <c r="AW33" s="20">
        <f>+AW30+AW31+AW32</f>
        <v>-6.400000000000003</v>
      </c>
    </row>
    <row r="34" spans="1:50" ht="8.25" customHeight="1">
      <c r="A34" s="1">
        <v>10</v>
      </c>
      <c r="G34" s="56">
        <f t="shared" si="18"/>
        <v>10</v>
      </c>
      <c r="I34" s="21"/>
      <c r="J34" s="21"/>
      <c r="K34" s="21"/>
      <c r="L34" s="21"/>
      <c r="M34" s="21"/>
      <c r="N34" s="21"/>
      <c r="O34" s="21"/>
      <c r="P34" s="21"/>
    </row>
    <row r="35" spans="1:50">
      <c r="A35" s="1">
        <v>11</v>
      </c>
      <c r="B35" s="5" t="s">
        <v>219</v>
      </c>
      <c r="C35" s="8">
        <f t="shared" si="23"/>
        <v>0.34500000000000003</v>
      </c>
      <c r="D35" s="8">
        <f t="shared" si="21"/>
        <v>-0.5</v>
      </c>
      <c r="E35" s="36">
        <f t="shared" si="22"/>
        <v>-2.4492753623188404</v>
      </c>
      <c r="G35" s="56">
        <f t="shared" si="18"/>
        <v>11</v>
      </c>
      <c r="H35" s="5" t="s">
        <v>219</v>
      </c>
      <c r="I35" s="17"/>
      <c r="J35" s="17"/>
      <c r="K35" s="17"/>
      <c r="L35" s="17"/>
      <c r="M35" s="17"/>
      <c r="N35" s="17"/>
      <c r="O35" s="17"/>
      <c r="P35" s="17"/>
      <c r="Q35" s="17">
        <v>0</v>
      </c>
      <c r="R35" s="17">
        <v>0</v>
      </c>
      <c r="S35" s="17">
        <v>0</v>
      </c>
      <c r="T35" s="17">
        <v>0</v>
      </c>
      <c r="U35" s="17">
        <v>0.378</v>
      </c>
      <c r="V35" s="8">
        <v>1.6000000000000014E-2</v>
      </c>
      <c r="W35" s="8">
        <v>-1.2250000000000001</v>
      </c>
      <c r="X35" s="8">
        <v>-1.6440000000000001</v>
      </c>
      <c r="Y35" s="8">
        <v>-1.4</v>
      </c>
      <c r="Z35" s="8">
        <v>-0.7</v>
      </c>
      <c r="AA35" s="8">
        <v>-0.1</v>
      </c>
      <c r="AB35" s="8">
        <v>-0.47850000000000037</v>
      </c>
      <c r="AC35" s="8">
        <v>0.3</v>
      </c>
      <c r="AD35" s="8">
        <v>0.2</v>
      </c>
      <c r="AE35" s="8">
        <v>-0.3</v>
      </c>
      <c r="AF35" s="8">
        <v>0.5</v>
      </c>
      <c r="AG35" s="8">
        <v>-0.6</v>
      </c>
      <c r="AH35" s="8">
        <v>-0.2</v>
      </c>
      <c r="AI35" s="8">
        <v>-0.3</v>
      </c>
      <c r="AJ35" s="8">
        <v>-0.1</v>
      </c>
      <c r="AK35" s="8">
        <v>-0.34599999999999997</v>
      </c>
      <c r="AL35" s="8">
        <v>4.5999999999999985E-2</v>
      </c>
      <c r="AM35" s="8">
        <f>+-1.348-AL35-AK35</f>
        <v>-1.048</v>
      </c>
      <c r="AN35" s="8">
        <f>+-0.75-SUM(AK35:AM35)</f>
        <v>0.59800000000000009</v>
      </c>
      <c r="AO35" s="8">
        <v>1.4</v>
      </c>
      <c r="AP35" s="8">
        <v>-0.19999999999999996</v>
      </c>
      <c r="AQ35" s="8">
        <v>-0.65690676999965092</v>
      </c>
      <c r="AR35" s="8">
        <f>0.7-SUM(AO35:AQ35)</f>
        <v>0.15690676999965092</v>
      </c>
      <c r="AS35" s="8">
        <v>0.34500000000000003</v>
      </c>
      <c r="AT35" s="8">
        <v>0.68900000000000006</v>
      </c>
      <c r="AU35" s="8">
        <v>-0.81200000000000006</v>
      </c>
      <c r="AV35" s="8">
        <v>-0.1</v>
      </c>
      <c r="AW35" s="8">
        <v>-0.5</v>
      </c>
      <c r="AX35" s="80"/>
    </row>
    <row r="36" spans="1:50" ht="8.25" customHeight="1">
      <c r="A36" s="1">
        <v>12</v>
      </c>
      <c r="G36" s="56">
        <f t="shared" si="18"/>
        <v>12</v>
      </c>
      <c r="I36" s="21"/>
      <c r="J36" s="21"/>
      <c r="K36" s="21"/>
      <c r="L36" s="21"/>
      <c r="M36" s="21"/>
      <c r="N36" s="21"/>
      <c r="O36" s="21"/>
      <c r="P36" s="21"/>
    </row>
    <row r="37" spans="1:50">
      <c r="A37" s="1">
        <v>13</v>
      </c>
      <c r="B37" s="6" t="s">
        <v>220</v>
      </c>
      <c r="C37" s="9">
        <f t="shared" si="23"/>
        <v>76.74943759000017</v>
      </c>
      <c r="D37" s="9">
        <f t="shared" si="21"/>
        <v>76.626437590000165</v>
      </c>
      <c r="E37" s="66" t="s">
        <v>132</v>
      </c>
      <c r="G37" s="56">
        <f t="shared" si="18"/>
        <v>13</v>
      </c>
      <c r="H37" s="6" t="s">
        <v>220</v>
      </c>
      <c r="I37" s="18"/>
      <c r="J37" s="18"/>
      <c r="K37" s="18"/>
      <c r="L37" s="18"/>
      <c r="M37" s="18"/>
      <c r="N37" s="18"/>
      <c r="O37" s="18"/>
      <c r="P37" s="18"/>
      <c r="Q37" s="9">
        <f t="shared" ref="Q37:X37" si="29">Q35+Q33+Q28</f>
        <v>39.150300000000001</v>
      </c>
      <c r="R37" s="9">
        <f t="shared" si="29"/>
        <v>40.120200000000004</v>
      </c>
      <c r="S37" s="9">
        <f t="shared" si="29"/>
        <v>42.754200000000004</v>
      </c>
      <c r="T37" s="9">
        <f t="shared" si="29"/>
        <v>22.031700000000008</v>
      </c>
      <c r="U37" s="9">
        <f t="shared" si="29"/>
        <v>38.978700000000003</v>
      </c>
      <c r="V37" s="9">
        <f t="shared" si="29"/>
        <v>37.817700000000002</v>
      </c>
      <c r="W37" s="9">
        <f t="shared" si="29"/>
        <v>43.233699999999999</v>
      </c>
      <c r="X37" s="9">
        <f t="shared" si="29"/>
        <v>52.870699999999999</v>
      </c>
      <c r="Y37" s="9">
        <f>Y35+Y33+Y28</f>
        <v>40.570700000000002</v>
      </c>
      <c r="Z37" s="9">
        <f>Z35+Z33+Z28</f>
        <v>52.370699999999999</v>
      </c>
      <c r="AA37" s="9">
        <f>AA35+AA33+AA28</f>
        <v>46.370699999999999</v>
      </c>
      <c r="AB37" s="9">
        <f t="shared" ref="AB37:AH37" si="30">+AB28+AB33+AB35</f>
        <v>23.706199999999999</v>
      </c>
      <c r="AC37" s="9">
        <f t="shared" si="30"/>
        <v>12.970700000000004</v>
      </c>
      <c r="AD37" s="9">
        <f t="shared" si="30"/>
        <v>17.470700000000004</v>
      </c>
      <c r="AE37" s="9">
        <f t="shared" si="30"/>
        <v>13.370700000000005</v>
      </c>
      <c r="AF37" s="9">
        <f t="shared" si="30"/>
        <v>23.770700000000005</v>
      </c>
      <c r="AG37" s="9">
        <f t="shared" si="30"/>
        <v>28.670700000000004</v>
      </c>
      <c r="AH37" s="9">
        <f t="shared" si="30"/>
        <v>40.970700000000001</v>
      </c>
      <c r="AI37" s="9">
        <f>+AI28+AI33+AI35</f>
        <v>27.370700000000003</v>
      </c>
      <c r="AJ37" s="9">
        <f>+AJ28+AJ33+AJ35</f>
        <v>30.970700000000008</v>
      </c>
      <c r="AK37" s="9">
        <f t="shared" ref="AK37" si="31">+AK28+AK33+AK35</f>
        <v>21.771700000000006</v>
      </c>
      <c r="AL37" s="9">
        <f>+AL28+AL33+AL35</f>
        <v>33.070700000000002</v>
      </c>
      <c r="AM37" s="9">
        <f>+AM28+AM33+AM35</f>
        <v>21.305700000000009</v>
      </c>
      <c r="AN37" s="9">
        <f>+AN28+AN33+AN35</f>
        <v>27.720700000000001</v>
      </c>
      <c r="AO37" s="9">
        <f>+AO28+AO33+AO35</f>
        <v>23.4</v>
      </c>
      <c r="AP37" s="9">
        <f>+AP28+AP33+AP35</f>
        <v>39.199999999999989</v>
      </c>
      <c r="AQ37" s="9">
        <f>1175.91-AQ18</f>
        <v>25.247530820000748</v>
      </c>
      <c r="AR37" s="9">
        <f t="shared" ref="AR37:AW37" si="32">+AR28+AR33+AR35</f>
        <v>87.204437590000168</v>
      </c>
      <c r="AS37" s="9">
        <f t="shared" si="32"/>
        <v>76.74943759000017</v>
      </c>
      <c r="AT37" s="9">
        <f t="shared" si="32"/>
        <v>67.538437590000171</v>
      </c>
      <c r="AU37" s="9">
        <f t="shared" si="32"/>
        <v>77.826437590000168</v>
      </c>
      <c r="AV37" s="9">
        <f t="shared" si="32"/>
        <v>83.526437590000171</v>
      </c>
      <c r="AW37" s="9">
        <f t="shared" si="32"/>
        <v>76.626437590000165</v>
      </c>
    </row>
    <row r="40" spans="1:50" ht="93.75" customHeight="1">
      <c r="B40" s="140" t="s">
        <v>222</v>
      </c>
      <c r="C40" s="145"/>
      <c r="D40" s="145"/>
      <c r="E40" s="145"/>
    </row>
  </sheetData>
  <mergeCells count="89">
    <mergeCell ref="AI6:AI7"/>
    <mergeCell ref="AI25:AI26"/>
    <mergeCell ref="AN6:AN7"/>
    <mergeCell ref="AN25:AN26"/>
    <mergeCell ref="AJ6:AJ7"/>
    <mergeCell ref="AJ25:AJ26"/>
    <mergeCell ref="AL6:AL7"/>
    <mergeCell ref="AL25:AL26"/>
    <mergeCell ref="AK6:AK7"/>
    <mergeCell ref="AK25:AK26"/>
    <mergeCell ref="AS6:AS7"/>
    <mergeCell ref="AS25:AS26"/>
    <mergeCell ref="AR6:AR7"/>
    <mergeCell ref="AR25:AR26"/>
    <mergeCell ref="AM6:AM7"/>
    <mergeCell ref="AM25:AM26"/>
    <mergeCell ref="AQ6:AQ7"/>
    <mergeCell ref="AQ25:AQ26"/>
    <mergeCell ref="AP6:AP7"/>
    <mergeCell ref="AP25:AP26"/>
    <mergeCell ref="AO6:AO7"/>
    <mergeCell ref="AO25:AO26"/>
    <mergeCell ref="AA25:AA26"/>
    <mergeCell ref="AD25:AD26"/>
    <mergeCell ref="AE25:AE26"/>
    <mergeCell ref="AD6:AD7"/>
    <mergeCell ref="AH6:AH7"/>
    <mergeCell ref="AH25:AH26"/>
    <mergeCell ref="B40:E40"/>
    <mergeCell ref="AG6:AG7"/>
    <mergeCell ref="AG25:AG26"/>
    <mergeCell ref="AB25:AB26"/>
    <mergeCell ref="Y6:Y7"/>
    <mergeCell ref="Y25:Y26"/>
    <mergeCell ref="AC6:AC7"/>
    <mergeCell ref="AC25:AC26"/>
    <mergeCell ref="AB6:AB7"/>
    <mergeCell ref="AF25:AF26"/>
    <mergeCell ref="AF6:AF7"/>
    <mergeCell ref="AE6:AE7"/>
    <mergeCell ref="I25:I26"/>
    <mergeCell ref="Z6:Z7"/>
    <mergeCell ref="P25:P26"/>
    <mergeCell ref="AA6:AA7"/>
    <mergeCell ref="V6:V7"/>
    <mergeCell ref="S25:S26"/>
    <mergeCell ref="T25:T26"/>
    <mergeCell ref="X6:X7"/>
    <mergeCell ref="X25:X26"/>
    <mergeCell ref="W6:W7"/>
    <mergeCell ref="U25:U26"/>
    <mergeCell ref="T6:T7"/>
    <mergeCell ref="U6:U7"/>
    <mergeCell ref="S6:S7"/>
    <mergeCell ref="Q25:Q26"/>
    <mergeCell ref="R25:R26"/>
    <mergeCell ref="K25:K26"/>
    <mergeCell ref="L25:L26"/>
    <mergeCell ref="M25:M26"/>
    <mergeCell ref="N25:N26"/>
    <mergeCell ref="O25:O26"/>
    <mergeCell ref="N6:N7"/>
    <mergeCell ref="O6:O7"/>
    <mergeCell ref="P6:P7"/>
    <mergeCell ref="Q6:Q7"/>
    <mergeCell ref="L6:L7"/>
    <mergeCell ref="M6:M7"/>
    <mergeCell ref="AT6:AT7"/>
    <mergeCell ref="AT25:AT26"/>
    <mergeCell ref="C6:C7"/>
    <mergeCell ref="D6:D7"/>
    <mergeCell ref="E6:E7"/>
    <mergeCell ref="C25:C26"/>
    <mergeCell ref="D25:D26"/>
    <mergeCell ref="E25:E26"/>
    <mergeCell ref="Z25:Z26"/>
    <mergeCell ref="W25:W26"/>
    <mergeCell ref="V25:V26"/>
    <mergeCell ref="I6:I7"/>
    <mergeCell ref="J6:J7"/>
    <mergeCell ref="K6:K7"/>
    <mergeCell ref="J25:J26"/>
    <mergeCell ref="R6:R7"/>
    <mergeCell ref="AW6:AW7"/>
    <mergeCell ref="AW25:AW26"/>
    <mergeCell ref="AV6:AV7"/>
    <mergeCell ref="AV25:AV26"/>
    <mergeCell ref="AU6:AU7"/>
    <mergeCell ref="AU25:AU26"/>
  </mergeCells>
  <phoneticPr fontId="14" type="noConversion"/>
  <pageMargins left="0.7" right="0.7" top="0.75" bottom="0.75" header="0.3" footer="0.3"/>
  <pageSetup orientation="portrait" r:id="rId1"/>
  <ignoredErrors>
    <ignoredError sqref="AQ37 AS37 AK18"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2FE29-E31B-4F06-9591-823ED18C3791}">
  <sheetPr codeName="Sheet2">
    <tabColor theme="9" tint="0.79998168889431442"/>
  </sheetPr>
  <dimension ref="A4:I46"/>
  <sheetViews>
    <sheetView topLeftCell="B1" zoomScale="91" zoomScaleNormal="91" workbookViewId="0"/>
  </sheetViews>
  <sheetFormatPr defaultColWidth="11.453125" defaultRowHeight="13.5"/>
  <cols>
    <col min="1" max="1" width="0" style="1" hidden="1" customWidth="1"/>
    <col min="2" max="2" width="40.453125" style="1" customWidth="1"/>
    <col min="3" max="3" width="11.453125" style="1" customWidth="1"/>
    <col min="4" max="4" width="14" style="1" customWidth="1"/>
    <col min="5" max="5" width="38.36328125" style="1" customWidth="1"/>
    <col min="6" max="16384" width="11.453125" style="1"/>
  </cols>
  <sheetData>
    <row r="4" spans="1:9" ht="23.5">
      <c r="B4" s="11" t="s">
        <v>0</v>
      </c>
      <c r="C4" s="12"/>
      <c r="D4" s="12"/>
      <c r="E4" s="12"/>
    </row>
    <row r="5" spans="1:9" ht="7.5" customHeight="1"/>
    <row r="6" spans="1:9" ht="15.75" customHeight="1">
      <c r="A6" s="1">
        <v>1</v>
      </c>
      <c r="B6" s="136" t="s">
        <v>1</v>
      </c>
      <c r="C6" s="136" t="s">
        <v>2</v>
      </c>
      <c r="D6" s="139" t="s">
        <v>3</v>
      </c>
      <c r="E6" s="139" t="s">
        <v>4</v>
      </c>
    </row>
    <row r="7" spans="1:9">
      <c r="A7" s="1">
        <v>2</v>
      </c>
      <c r="B7" s="136"/>
      <c r="C7" s="136"/>
      <c r="D7" s="139"/>
      <c r="E7" s="139"/>
      <c r="H7" s="88"/>
    </row>
    <row r="8" spans="1:9" ht="4.5" customHeight="1">
      <c r="A8" s="1">
        <v>3</v>
      </c>
      <c r="D8" s="55"/>
      <c r="E8" s="55"/>
    </row>
    <row r="9" spans="1:9">
      <c r="A9" s="1">
        <v>4</v>
      </c>
      <c r="B9" s="86" t="s">
        <v>5</v>
      </c>
      <c r="C9" s="131">
        <v>210.3</v>
      </c>
      <c r="D9" s="127" t="s">
        <v>6</v>
      </c>
      <c r="E9" s="127" t="s">
        <v>7</v>
      </c>
      <c r="H9" s="88"/>
      <c r="I9" s="91"/>
    </row>
    <row r="10" spans="1:9">
      <c r="A10" s="1">
        <v>5</v>
      </c>
      <c r="B10" s="86" t="s">
        <v>8</v>
      </c>
      <c r="C10" s="131">
        <v>10</v>
      </c>
      <c r="D10" s="127" t="s">
        <v>6</v>
      </c>
      <c r="E10" s="127" t="s">
        <v>7</v>
      </c>
      <c r="H10" s="88"/>
      <c r="I10" s="91"/>
    </row>
    <row r="11" spans="1:9" ht="15.75" customHeight="1">
      <c r="A11" s="1">
        <v>6</v>
      </c>
      <c r="B11" s="86" t="s">
        <v>9</v>
      </c>
      <c r="C11" s="131">
        <v>661.8</v>
      </c>
      <c r="D11" s="127" t="s">
        <v>6</v>
      </c>
      <c r="E11" s="127" t="s">
        <v>10</v>
      </c>
      <c r="I11" s="91"/>
    </row>
    <row r="12" spans="1:9">
      <c r="A12" s="1">
        <v>7</v>
      </c>
      <c r="B12" s="86" t="s">
        <v>11</v>
      </c>
      <c r="C12" s="131">
        <v>249.2</v>
      </c>
      <c r="D12" s="127" t="s">
        <v>6</v>
      </c>
      <c r="E12" s="127" t="s">
        <v>7</v>
      </c>
      <c r="H12" s="88"/>
      <c r="I12" s="91"/>
    </row>
    <row r="13" spans="1:9" ht="15.75" customHeight="1">
      <c r="A13" s="1">
        <v>8</v>
      </c>
      <c r="B13" s="86" t="s">
        <v>12</v>
      </c>
      <c r="C13" s="131">
        <v>323.8</v>
      </c>
      <c r="D13" s="127" t="s">
        <v>6</v>
      </c>
      <c r="E13" s="127" t="s">
        <v>10</v>
      </c>
      <c r="H13" s="88"/>
      <c r="I13" s="91"/>
    </row>
    <row r="14" spans="1:9">
      <c r="A14" s="1">
        <v>9</v>
      </c>
      <c r="B14" s="86" t="s">
        <v>13</v>
      </c>
      <c r="C14" s="131">
        <v>172</v>
      </c>
      <c r="D14" s="127" t="s">
        <v>6</v>
      </c>
      <c r="E14" s="127" t="s">
        <v>14</v>
      </c>
    </row>
    <row r="15" spans="1:9">
      <c r="A15" s="1">
        <v>10</v>
      </c>
      <c r="B15" s="6" t="s">
        <v>15</v>
      </c>
      <c r="C15" s="84">
        <f>SUM(C8:C14)</f>
        <v>1627.1</v>
      </c>
      <c r="D15" s="128"/>
      <c r="E15" s="129"/>
      <c r="F15" s="91"/>
    </row>
    <row r="16" spans="1:9">
      <c r="A16" s="1">
        <v>11</v>
      </c>
      <c r="B16" s="86" t="s">
        <v>16</v>
      </c>
      <c r="C16" s="131">
        <v>9</v>
      </c>
      <c r="D16" s="127" t="s">
        <v>17</v>
      </c>
      <c r="E16" s="127" t="s">
        <v>10</v>
      </c>
    </row>
    <row r="17" spans="1:7" ht="15" customHeight="1">
      <c r="A17" s="1">
        <v>12</v>
      </c>
      <c r="B17" s="86" t="s">
        <v>18</v>
      </c>
      <c r="C17" s="131">
        <v>9.1999999999999993</v>
      </c>
      <c r="D17" s="127" t="s">
        <v>17</v>
      </c>
      <c r="E17" s="127" t="s">
        <v>10</v>
      </c>
    </row>
    <row r="18" spans="1:7">
      <c r="A18" s="1">
        <v>13</v>
      </c>
      <c r="B18" s="86" t="s">
        <v>19</v>
      </c>
      <c r="C18" s="131">
        <v>211.6</v>
      </c>
      <c r="D18" s="127" t="s">
        <v>17</v>
      </c>
      <c r="E18" s="127" t="s">
        <v>20</v>
      </c>
    </row>
    <row r="19" spans="1:7">
      <c r="B19" s="6" t="s">
        <v>21</v>
      </c>
      <c r="C19" s="84">
        <f>SUM(C16:C18)</f>
        <v>229.79999999999998</v>
      </c>
      <c r="D19" s="128"/>
      <c r="E19" s="129"/>
    </row>
    <row r="20" spans="1:7">
      <c r="B20" s="86" t="s">
        <v>22</v>
      </c>
      <c r="C20" s="131">
        <v>335.4</v>
      </c>
      <c r="D20" s="127" t="s">
        <v>23</v>
      </c>
      <c r="E20" s="127" t="s">
        <v>24</v>
      </c>
    </row>
    <row r="21" spans="1:7">
      <c r="B21" s="86" t="s">
        <v>25</v>
      </c>
      <c r="C21" s="131">
        <v>411.2</v>
      </c>
      <c r="D21" s="127" t="s">
        <v>23</v>
      </c>
      <c r="E21" s="127" t="s">
        <v>24</v>
      </c>
    </row>
    <row r="22" spans="1:7">
      <c r="B22" s="86" t="s">
        <v>26</v>
      </c>
      <c r="C22" s="131">
        <v>108</v>
      </c>
      <c r="D22" s="127" t="s">
        <v>27</v>
      </c>
      <c r="E22" s="127" t="s">
        <v>24</v>
      </c>
    </row>
    <row r="23" spans="1:7">
      <c r="B23" s="86" t="s">
        <v>28</v>
      </c>
      <c r="C23" s="131">
        <v>249.7</v>
      </c>
      <c r="D23" s="127" t="s">
        <v>27</v>
      </c>
      <c r="E23" s="127" t="s">
        <v>29</v>
      </c>
    </row>
    <row r="24" spans="1:7">
      <c r="B24" s="86" t="s">
        <v>30</v>
      </c>
      <c r="C24" s="131">
        <v>107.7</v>
      </c>
      <c r="D24" s="127" t="s">
        <v>31</v>
      </c>
      <c r="E24" s="127" t="s">
        <v>32</v>
      </c>
    </row>
    <row r="25" spans="1:7">
      <c r="B25" s="86" t="s">
        <v>33</v>
      </c>
      <c r="C25" s="131">
        <v>350</v>
      </c>
      <c r="D25" s="127" t="s">
        <v>34</v>
      </c>
      <c r="E25" s="127" t="s">
        <v>32</v>
      </c>
    </row>
    <row r="26" spans="1:7">
      <c r="B26" s="6" t="s">
        <v>35</v>
      </c>
      <c r="C26" s="84">
        <f>SUM(C20:C25)</f>
        <v>1562</v>
      </c>
      <c r="D26" s="128"/>
      <c r="E26" s="128"/>
      <c r="F26" s="98"/>
    </row>
    <row r="27" spans="1:7">
      <c r="B27" s="85" t="s">
        <v>36</v>
      </c>
      <c r="C27" s="132">
        <f>C15+C19+C26</f>
        <v>3418.8999999999996</v>
      </c>
      <c r="D27" s="126"/>
      <c r="E27" s="130"/>
      <c r="G27" s="88"/>
    </row>
    <row r="28" spans="1:7">
      <c r="C28" s="88"/>
    </row>
    <row r="29" spans="1:7" ht="23.5">
      <c r="B29" s="11" t="s">
        <v>37</v>
      </c>
      <c r="C29" s="133"/>
      <c r="D29" s="12"/>
      <c r="E29" s="12"/>
      <c r="F29" s="88"/>
    </row>
    <row r="30" spans="1:7" ht="7.5" customHeight="1">
      <c r="C30" s="88"/>
    </row>
    <row r="31" spans="1:7">
      <c r="A31" s="1">
        <v>1</v>
      </c>
      <c r="B31" s="136" t="s">
        <v>1</v>
      </c>
      <c r="C31" s="137" t="s">
        <v>2</v>
      </c>
      <c r="D31" s="139" t="s">
        <v>3</v>
      </c>
      <c r="E31" s="139" t="s">
        <v>4</v>
      </c>
    </row>
    <row r="32" spans="1:7">
      <c r="A32" s="1">
        <v>2</v>
      </c>
      <c r="B32" s="136"/>
      <c r="C32" s="137"/>
      <c r="D32" s="139"/>
      <c r="E32" s="139"/>
    </row>
    <row r="33" spans="1:6" ht="4.5" customHeight="1">
      <c r="A33" s="1">
        <v>3</v>
      </c>
      <c r="C33" s="88"/>
      <c r="D33" s="55"/>
      <c r="E33" s="55"/>
    </row>
    <row r="34" spans="1:6">
      <c r="A34" s="1">
        <v>4</v>
      </c>
      <c r="B34" s="5" t="s">
        <v>38</v>
      </c>
      <c r="C34" s="131">
        <v>572</v>
      </c>
      <c r="D34" s="127" t="s">
        <v>23</v>
      </c>
      <c r="E34" s="127" t="s">
        <v>39</v>
      </c>
      <c r="F34" s="51"/>
    </row>
    <row r="35" spans="1:6">
      <c r="A35" s="1">
        <v>5</v>
      </c>
      <c r="B35" s="6" t="s">
        <v>35</v>
      </c>
      <c r="C35" s="84">
        <f>SUM(C29:C34)</f>
        <v>572</v>
      </c>
      <c r="D35" s="129"/>
      <c r="E35" s="129"/>
      <c r="F35" s="51"/>
    </row>
    <row r="36" spans="1:6" ht="19.5" customHeight="1">
      <c r="A36" s="1">
        <v>6</v>
      </c>
      <c r="B36" s="85" t="s">
        <v>40</v>
      </c>
      <c r="C36" s="132">
        <f>C35</f>
        <v>572</v>
      </c>
      <c r="D36" s="59"/>
      <c r="E36" s="59"/>
    </row>
    <row r="37" spans="1:6">
      <c r="C37" s="88"/>
      <c r="D37" s="55"/>
      <c r="E37" s="55"/>
    </row>
    <row r="38" spans="1:6">
      <c r="B38" s="3" t="s">
        <v>41</v>
      </c>
      <c r="C38" s="137">
        <f>C27+C36</f>
        <v>3990.8999999999996</v>
      </c>
      <c r="D38" s="138"/>
      <c r="E38" s="138"/>
    </row>
    <row r="39" spans="1:6">
      <c r="B39" s="3"/>
      <c r="C39" s="137"/>
      <c r="D39" s="139"/>
      <c r="E39" s="139"/>
    </row>
    <row r="40" spans="1:6">
      <c r="C40" s="51"/>
      <c r="D40" s="51"/>
      <c r="E40" s="51"/>
    </row>
    <row r="41" spans="1:6">
      <c r="C41" s="51"/>
      <c r="D41" s="51"/>
      <c r="E41" s="51"/>
    </row>
    <row r="42" spans="1:6">
      <c r="C42" s="51"/>
      <c r="D42" s="51"/>
      <c r="E42" s="51"/>
    </row>
    <row r="43" spans="1:6">
      <c r="C43" s="51"/>
      <c r="D43" s="51"/>
      <c r="E43" s="51"/>
    </row>
    <row r="44" spans="1:6">
      <c r="C44" s="51"/>
      <c r="D44" s="51"/>
      <c r="E44" s="51"/>
    </row>
    <row r="45" spans="1:6">
      <c r="C45" s="51"/>
      <c r="D45" s="51"/>
      <c r="E45" s="51"/>
    </row>
    <row r="46" spans="1:6">
      <c r="C46" s="51"/>
      <c r="D46" s="51"/>
      <c r="E46" s="51"/>
    </row>
  </sheetData>
  <mergeCells count="11">
    <mergeCell ref="B6:B7"/>
    <mergeCell ref="B31:B32"/>
    <mergeCell ref="C38:C39"/>
    <mergeCell ref="D38:D39"/>
    <mergeCell ref="E38:E39"/>
    <mergeCell ref="D6:D7"/>
    <mergeCell ref="E6:E7"/>
    <mergeCell ref="C6:C7"/>
    <mergeCell ref="D31:D32"/>
    <mergeCell ref="E31:E32"/>
    <mergeCell ref="C31:C3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C15DD-DC42-45F3-9E26-8695A3ED3A72}">
  <sheetPr codeName="Sheet3">
    <tabColor theme="9" tint="0.79998168889431442"/>
  </sheetPr>
  <dimension ref="A4:E27"/>
  <sheetViews>
    <sheetView zoomScale="91" zoomScaleNormal="91" workbookViewId="0">
      <selection activeCell="B30" sqref="B30"/>
    </sheetView>
  </sheetViews>
  <sheetFormatPr defaultColWidth="11.453125" defaultRowHeight="13.5"/>
  <cols>
    <col min="1" max="1" width="22.90625" style="1" customWidth="1"/>
    <col min="2" max="2" width="31" style="1" customWidth="1"/>
    <col min="3" max="3" width="24.54296875" style="1" customWidth="1"/>
    <col min="4" max="4" width="27.08984375" style="1" customWidth="1"/>
    <col min="5" max="5" width="24.36328125" style="1" customWidth="1"/>
    <col min="6" max="16384" width="11.453125" style="1"/>
  </cols>
  <sheetData>
    <row r="4" spans="1:5" ht="23.5">
      <c r="A4" s="11" t="s">
        <v>0</v>
      </c>
      <c r="B4" s="12"/>
      <c r="C4" s="12"/>
      <c r="D4" s="12"/>
      <c r="E4" s="12"/>
    </row>
    <row r="5" spans="1:5" ht="7.5" customHeight="1"/>
    <row r="6" spans="1:5" ht="15.75" customHeight="1">
      <c r="A6" s="59"/>
      <c r="B6" s="120" t="s">
        <v>42</v>
      </c>
      <c r="C6" s="120" t="s">
        <v>43</v>
      </c>
      <c r="D6" s="120" t="s">
        <v>44</v>
      </c>
      <c r="E6" s="120" t="s">
        <v>45</v>
      </c>
    </row>
    <row r="8" spans="1:5" ht="16.5" customHeight="1">
      <c r="A8" s="6" t="s">
        <v>46</v>
      </c>
      <c r="B8" s="6"/>
      <c r="C8" s="6"/>
      <c r="D8" s="6"/>
      <c r="E8" s="6"/>
    </row>
    <row r="9" spans="1:5">
      <c r="A9" s="13"/>
      <c r="B9" s="119"/>
      <c r="C9" s="119"/>
      <c r="D9" s="119"/>
      <c r="E9" s="118"/>
    </row>
    <row r="10" spans="1:5">
      <c r="A10" s="13" t="s">
        <v>47</v>
      </c>
      <c r="B10" s="134">
        <v>1000</v>
      </c>
      <c r="C10" s="135">
        <v>2011</v>
      </c>
      <c r="D10" s="135">
        <v>2025</v>
      </c>
      <c r="E10" s="135" t="s">
        <v>48</v>
      </c>
    </row>
    <row r="11" spans="1:5" ht="15.75" customHeight="1">
      <c r="A11" s="13" t="s">
        <v>49</v>
      </c>
      <c r="B11" s="135">
        <v>380</v>
      </c>
      <c r="C11" s="135">
        <v>2017</v>
      </c>
      <c r="D11" s="135">
        <v>2031</v>
      </c>
      <c r="E11" s="135" t="s">
        <v>48</v>
      </c>
    </row>
    <row r="12" spans="1:5">
      <c r="B12" s="88"/>
      <c r="C12" s="88"/>
      <c r="D12" s="88"/>
    </row>
    <row r="13" spans="1:5" ht="15.75" customHeight="1">
      <c r="A13" s="6" t="s">
        <v>50</v>
      </c>
      <c r="B13" s="84"/>
      <c r="C13" s="84"/>
      <c r="D13" s="84"/>
      <c r="E13" s="6"/>
    </row>
    <row r="14" spans="1:5">
      <c r="A14" s="13"/>
      <c r="B14" s="119"/>
      <c r="C14" s="119"/>
      <c r="D14" s="119"/>
      <c r="E14" s="118"/>
    </row>
    <row r="15" spans="1:5">
      <c r="A15" s="13" t="s">
        <v>51</v>
      </c>
      <c r="B15" s="134">
        <v>1542</v>
      </c>
      <c r="C15" s="135">
        <v>2010</v>
      </c>
      <c r="D15" s="135">
        <v>2029</v>
      </c>
      <c r="E15" s="135" t="s">
        <v>48</v>
      </c>
    </row>
    <row r="16" spans="1:5">
      <c r="A16" s="13" t="s">
        <v>52</v>
      </c>
      <c r="B16" s="135" t="s">
        <v>53</v>
      </c>
      <c r="C16" s="135" t="s">
        <v>54</v>
      </c>
      <c r="D16" s="135" t="s">
        <v>55</v>
      </c>
      <c r="E16" s="135" t="s">
        <v>56</v>
      </c>
    </row>
    <row r="17" spans="1:5" ht="15" customHeight="1">
      <c r="A17" s="13" t="s">
        <v>57</v>
      </c>
      <c r="B17" s="135">
        <v>662</v>
      </c>
      <c r="C17" s="135">
        <v>2017</v>
      </c>
      <c r="D17" s="135">
        <v>2027</v>
      </c>
      <c r="E17" s="135" t="s">
        <v>48</v>
      </c>
    </row>
    <row r="18" spans="1:5">
      <c r="A18" s="13" t="s">
        <v>58</v>
      </c>
      <c r="B18" s="135">
        <v>330</v>
      </c>
      <c r="C18" s="135">
        <v>2017</v>
      </c>
      <c r="D18" s="135">
        <v>2026</v>
      </c>
      <c r="E18" s="135" t="s">
        <v>59</v>
      </c>
    </row>
    <row r="19" spans="1:5">
      <c r="A19" s="13" t="s">
        <v>60</v>
      </c>
      <c r="B19" s="135">
        <v>214</v>
      </c>
      <c r="C19" s="135">
        <v>2017</v>
      </c>
      <c r="D19" s="135">
        <v>2031</v>
      </c>
      <c r="E19" s="135" t="s">
        <v>48</v>
      </c>
    </row>
    <row r="20" spans="1:5">
      <c r="A20" s="13" t="s">
        <v>61</v>
      </c>
      <c r="B20" s="135">
        <v>550</v>
      </c>
      <c r="C20" s="135">
        <v>2020</v>
      </c>
      <c r="D20" s="135">
        <v>2030</v>
      </c>
      <c r="E20" s="135" t="s">
        <v>59</v>
      </c>
    </row>
    <row r="21" spans="1:5">
      <c r="A21" s="13" t="s">
        <v>62</v>
      </c>
      <c r="B21" s="134">
        <v>3300</v>
      </c>
      <c r="C21" s="135">
        <v>2022</v>
      </c>
      <c r="D21" s="135">
        <v>2031</v>
      </c>
      <c r="E21" s="135" t="s">
        <v>59</v>
      </c>
    </row>
    <row r="22" spans="1:5">
      <c r="A22" s="13" t="s">
        <v>63</v>
      </c>
      <c r="B22" s="135">
        <v>200</v>
      </c>
      <c r="C22" s="135">
        <v>2023</v>
      </c>
      <c r="D22" s="135">
        <v>2030</v>
      </c>
      <c r="E22" s="135" t="s">
        <v>59</v>
      </c>
    </row>
    <row r="23" spans="1:5">
      <c r="A23" s="13" t="s">
        <v>64</v>
      </c>
      <c r="B23" s="135" t="s">
        <v>65</v>
      </c>
      <c r="C23" s="135" t="s">
        <v>66</v>
      </c>
      <c r="D23" s="135" t="s">
        <v>67</v>
      </c>
      <c r="E23" s="135" t="s">
        <v>59</v>
      </c>
    </row>
    <row r="24" spans="1:5">
      <c r="A24" s="13" t="s">
        <v>68</v>
      </c>
      <c r="B24" s="135">
        <v>24</v>
      </c>
      <c r="C24" s="135">
        <v>2024</v>
      </c>
      <c r="D24" s="135">
        <v>2033</v>
      </c>
      <c r="E24" s="135" t="s">
        <v>59</v>
      </c>
    </row>
    <row r="25" spans="1:5">
      <c r="A25" s="13" t="s">
        <v>69</v>
      </c>
      <c r="B25" s="135">
        <v>280</v>
      </c>
      <c r="C25" s="135">
        <v>2025</v>
      </c>
      <c r="D25" s="135">
        <v>2035</v>
      </c>
      <c r="E25" s="135" t="s">
        <v>59</v>
      </c>
    </row>
    <row r="26" spans="1:5">
      <c r="A26" s="13" t="s">
        <v>70</v>
      </c>
      <c r="B26" s="135">
        <v>912</v>
      </c>
      <c r="C26" s="135">
        <v>2025</v>
      </c>
      <c r="D26" s="135">
        <v>2039</v>
      </c>
      <c r="E26" s="135" t="s">
        <v>59</v>
      </c>
    </row>
    <row r="27" spans="1:5">
      <c r="A27" s="13" t="s">
        <v>71</v>
      </c>
      <c r="B27" s="134">
        <v>1100</v>
      </c>
      <c r="C27" s="135">
        <v>2026</v>
      </c>
      <c r="D27" s="135">
        <v>2040</v>
      </c>
      <c r="E27" s="135" t="s">
        <v>59</v>
      </c>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9" tint="0.79998168889431442"/>
  </sheetPr>
  <dimension ref="A4:BF54"/>
  <sheetViews>
    <sheetView topLeftCell="B1" zoomScale="84" zoomScaleNormal="84" workbookViewId="0"/>
  </sheetViews>
  <sheetFormatPr defaultColWidth="11.453125" defaultRowHeight="13.5"/>
  <cols>
    <col min="1" max="1" width="7.36328125" style="1" hidden="1" customWidth="1"/>
    <col min="2" max="2" width="40" style="1" bestFit="1" customWidth="1"/>
    <col min="3" max="6" width="11.453125" style="1"/>
    <col min="7" max="7" width="11.453125" style="56" customWidth="1"/>
    <col min="8" max="8" width="37.453125" style="1" customWidth="1"/>
    <col min="9" max="46" width="11.453125" style="1" customWidth="1"/>
    <col min="47" max="16384" width="11.453125" style="1"/>
  </cols>
  <sheetData>
    <row r="4" spans="1:49" ht="23.5">
      <c r="B4" s="11" t="s">
        <v>0</v>
      </c>
      <c r="C4" s="12"/>
      <c r="D4" s="12"/>
      <c r="E4" s="12"/>
      <c r="H4" s="11" t="s">
        <v>0</v>
      </c>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row>
    <row r="6" spans="1:49">
      <c r="A6" s="1">
        <v>1</v>
      </c>
      <c r="B6" s="3" t="s">
        <v>72</v>
      </c>
      <c r="C6" s="139" t="s">
        <v>73</v>
      </c>
      <c r="D6" s="139" t="s">
        <v>74</v>
      </c>
      <c r="E6" s="139" t="s">
        <v>75</v>
      </c>
      <c r="G6" s="56">
        <v>1</v>
      </c>
      <c r="H6" s="3" t="s">
        <v>76</v>
      </c>
      <c r="I6" s="139" t="s">
        <v>77</v>
      </c>
      <c r="J6" s="139" t="s">
        <v>78</v>
      </c>
      <c r="K6" s="139" t="s">
        <v>79</v>
      </c>
      <c r="L6" s="139" t="s">
        <v>80</v>
      </c>
      <c r="M6" s="139" t="s">
        <v>81</v>
      </c>
      <c r="N6" s="139" t="s">
        <v>82</v>
      </c>
      <c r="O6" s="139" t="s">
        <v>83</v>
      </c>
      <c r="P6" s="139" t="s">
        <v>84</v>
      </c>
      <c r="Q6" s="139" t="s">
        <v>85</v>
      </c>
      <c r="R6" s="139" t="s">
        <v>86</v>
      </c>
      <c r="S6" s="139" t="s">
        <v>87</v>
      </c>
      <c r="T6" s="139" t="s">
        <v>88</v>
      </c>
      <c r="U6" s="139" t="s">
        <v>89</v>
      </c>
      <c r="V6" s="139" t="s">
        <v>90</v>
      </c>
      <c r="W6" s="139" t="s">
        <v>91</v>
      </c>
      <c r="X6" s="139" t="s">
        <v>92</v>
      </c>
      <c r="Y6" s="139" t="s">
        <v>93</v>
      </c>
      <c r="Z6" s="139" t="s">
        <v>94</v>
      </c>
      <c r="AA6" s="139" t="s">
        <v>95</v>
      </c>
      <c r="AB6" s="139" t="s">
        <v>96</v>
      </c>
      <c r="AC6" s="139" t="s">
        <v>97</v>
      </c>
      <c r="AD6" s="139" t="s">
        <v>98</v>
      </c>
      <c r="AE6" s="139" t="s">
        <v>99</v>
      </c>
      <c r="AF6" s="139" t="s">
        <v>100</v>
      </c>
      <c r="AG6" s="139" t="s">
        <v>101</v>
      </c>
      <c r="AH6" s="139" t="s">
        <v>102</v>
      </c>
      <c r="AI6" s="139" t="s">
        <v>103</v>
      </c>
      <c r="AJ6" s="139" t="s">
        <v>104</v>
      </c>
      <c r="AK6" s="139" t="s">
        <v>105</v>
      </c>
      <c r="AL6" s="139" t="s">
        <v>106</v>
      </c>
      <c r="AM6" s="139" t="s">
        <v>107</v>
      </c>
      <c r="AN6" s="139" t="s">
        <v>108</v>
      </c>
      <c r="AO6" s="139" t="s">
        <v>109</v>
      </c>
      <c r="AP6" s="139" t="s">
        <v>110</v>
      </c>
      <c r="AQ6" s="139" t="s">
        <v>111</v>
      </c>
      <c r="AR6" s="139" t="s">
        <v>112</v>
      </c>
      <c r="AS6" s="139" t="s">
        <v>73</v>
      </c>
      <c r="AT6" s="139" t="s">
        <v>113</v>
      </c>
      <c r="AU6" s="139" t="s">
        <v>114</v>
      </c>
      <c r="AV6" s="139" t="s">
        <v>115</v>
      </c>
      <c r="AW6" s="139" t="s">
        <v>74</v>
      </c>
    </row>
    <row r="7" spans="1:49">
      <c r="A7" s="1">
        <f>+A6+1</f>
        <v>2</v>
      </c>
      <c r="B7" s="3" t="s">
        <v>116</v>
      </c>
      <c r="C7" s="139"/>
      <c r="D7" s="139"/>
      <c r="E7" s="139"/>
      <c r="G7" s="56">
        <f>G6+1</f>
        <v>2</v>
      </c>
      <c r="H7" s="3" t="s">
        <v>116</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39"/>
      <c r="AR7" s="139"/>
      <c r="AS7" s="139"/>
      <c r="AT7" s="139"/>
      <c r="AU7" s="139"/>
      <c r="AV7" s="139"/>
      <c r="AW7" s="139"/>
    </row>
    <row r="8" spans="1:49">
      <c r="A8" s="1">
        <f t="shared" ref="A8:A29" si="0">+A7+1</f>
        <v>3</v>
      </c>
      <c r="C8" s="80"/>
      <c r="D8" s="80"/>
      <c r="E8" s="55"/>
      <c r="G8" s="56">
        <f t="shared" ref="G8:G29" si="1">G7+1</f>
        <v>3</v>
      </c>
    </row>
    <row r="9" spans="1:49">
      <c r="A9" s="1">
        <f t="shared" si="0"/>
        <v>4</v>
      </c>
      <c r="B9" s="6" t="s">
        <v>117</v>
      </c>
      <c r="C9" s="113">
        <f>+SUM(C11:C13)</f>
        <v>3362.9314742877596</v>
      </c>
      <c r="D9" s="113">
        <f t="shared" ref="D9" si="2">+SUM(D11:D13)</f>
        <v>3131</v>
      </c>
      <c r="E9" s="66">
        <f>D9/C9-1</f>
        <v>-6.8967053316743798E-2</v>
      </c>
      <c r="G9" s="56">
        <f t="shared" si="1"/>
        <v>4</v>
      </c>
      <c r="H9" s="6" t="s">
        <v>117</v>
      </c>
      <c r="I9" s="23">
        <f>SUM(I11:I13)</f>
        <v>2560.681023770358</v>
      </c>
      <c r="J9" s="23">
        <f t="shared" ref="J9:W9" si="3">SUM(J11:J13)</f>
        <v>3204.9189762296419</v>
      </c>
      <c r="K9" s="23">
        <f t="shared" si="3"/>
        <v>3160</v>
      </c>
      <c r="L9" s="23">
        <f t="shared" si="3"/>
        <v>3256.6374880461249</v>
      </c>
      <c r="M9" s="23">
        <f t="shared" si="3"/>
        <v>3108.5000952819764</v>
      </c>
      <c r="N9" s="23">
        <f t="shared" si="3"/>
        <v>3307.390542442422</v>
      </c>
      <c r="O9" s="23">
        <f t="shared" si="3"/>
        <v>3196.9342477735267</v>
      </c>
      <c r="P9" s="23">
        <f t="shared" si="3"/>
        <v>2884.5970569424348</v>
      </c>
      <c r="Q9" s="23">
        <f t="shared" si="3"/>
        <v>3159.4090628176209</v>
      </c>
      <c r="R9" s="23">
        <f t="shared" si="3"/>
        <v>3243.5380586726274</v>
      </c>
      <c r="S9" s="23">
        <f t="shared" si="3"/>
        <v>2781</v>
      </c>
      <c r="T9" s="23">
        <f t="shared" si="3"/>
        <v>2772.5335138224214</v>
      </c>
      <c r="U9" s="23">
        <f t="shared" si="3"/>
        <v>3110.0663316242094</v>
      </c>
      <c r="V9" s="23">
        <f t="shared" si="3"/>
        <v>3272.6612769021672</v>
      </c>
      <c r="W9" s="23">
        <f t="shared" si="3"/>
        <v>3026.6000000000004</v>
      </c>
      <c r="X9" s="23">
        <f t="shared" ref="X9:Y9" si="4">SUM(X11:X13)</f>
        <v>3018.3478999999998</v>
      </c>
      <c r="Y9" s="23">
        <f t="shared" si="4"/>
        <v>3407.8686676943248</v>
      </c>
      <c r="Z9" s="23">
        <f t="shared" ref="Z9" si="5">SUM(Z11:Z13)</f>
        <v>3424.7141303512244</v>
      </c>
      <c r="AA9" s="23">
        <f t="shared" ref="AA9:AN9" si="6">SUM(AA11:AA13)</f>
        <v>3024.3315116932845</v>
      </c>
      <c r="AB9" s="23">
        <f t="shared" si="6"/>
        <v>2985.7599999999998</v>
      </c>
      <c r="AC9" s="23">
        <f t="shared" si="6"/>
        <v>3258.472476178159</v>
      </c>
      <c r="AD9" s="23">
        <f t="shared" si="6"/>
        <v>3269.1335247947418</v>
      </c>
      <c r="AE9" s="23">
        <f t="shared" si="6"/>
        <v>2892.5098733903596</v>
      </c>
      <c r="AF9" s="23">
        <f t="shared" si="6"/>
        <v>2757.7442338119999</v>
      </c>
      <c r="AG9" s="23">
        <f t="shared" si="6"/>
        <v>2894.7184263164395</v>
      </c>
      <c r="AH9" s="23">
        <f t="shared" si="6"/>
        <v>3020.1895664713779</v>
      </c>
      <c r="AI9" s="23">
        <f t="shared" si="6"/>
        <v>3453.1873442230267</v>
      </c>
      <c r="AJ9" s="23">
        <f t="shared" si="6"/>
        <v>2677.069158441248</v>
      </c>
      <c r="AK9" s="23">
        <f t="shared" si="6"/>
        <v>2521.9834357051286</v>
      </c>
      <c r="AL9" s="23">
        <f t="shared" si="6"/>
        <v>3075.8702213144702</v>
      </c>
      <c r="AM9" s="23">
        <f t="shared" si="6"/>
        <v>2756.2184222706778</v>
      </c>
      <c r="AN9" s="23">
        <f t="shared" si="6"/>
        <v>2582.3047501758483</v>
      </c>
      <c r="AO9" s="23">
        <f>SUM(AO11:AO13)</f>
        <v>3189.7721410092995</v>
      </c>
      <c r="AP9" s="23">
        <v>3549.1337173741799</v>
      </c>
      <c r="AQ9" s="72">
        <f>+SUM(AQ11:AQ13)</f>
        <v>3211.2314003461747</v>
      </c>
      <c r="AR9" s="72">
        <f>+SUM(AR11:AR13)</f>
        <v>3382.8923532927879</v>
      </c>
      <c r="AS9" s="72">
        <f t="shared" ref="AS9:AW9" si="7">+SUM(AS11:AS13)</f>
        <v>3362.9314742877596</v>
      </c>
      <c r="AT9" s="72">
        <f t="shared" si="7"/>
        <v>3441.900620641658</v>
      </c>
      <c r="AU9" s="72">
        <f t="shared" si="7"/>
        <v>3223.210721393848</v>
      </c>
      <c r="AV9" s="72">
        <f t="shared" si="7"/>
        <v>2945.9252992253309</v>
      </c>
      <c r="AW9" s="72">
        <f t="shared" si="7"/>
        <v>3131</v>
      </c>
    </row>
    <row r="10" spans="1:49" ht="5.25" customHeight="1">
      <c r="A10" s="1">
        <f t="shared" si="0"/>
        <v>5</v>
      </c>
      <c r="C10" s="80"/>
      <c r="D10" s="80"/>
      <c r="E10" s="80"/>
      <c r="G10" s="56">
        <f t="shared" si="1"/>
        <v>5</v>
      </c>
    </row>
    <row r="11" spans="1:49">
      <c r="A11" s="1">
        <f t="shared" si="0"/>
        <v>6</v>
      </c>
      <c r="B11" s="5" t="s">
        <v>118</v>
      </c>
      <c r="C11" s="24">
        <f>HLOOKUP($C$6,$H$6:$BF$29,$G11,FALSE)</f>
        <v>620.50865699999997</v>
      </c>
      <c r="D11" s="24">
        <f>HLOOKUP($D$6,$H$6:$BF$29,$G11,FALSE)</f>
        <v>248</v>
      </c>
      <c r="E11" s="47">
        <f>+D11/C11-1</f>
        <v>-0.60032789679516108</v>
      </c>
      <c r="G11" s="56">
        <f t="shared" si="1"/>
        <v>6</v>
      </c>
      <c r="H11" s="5" t="s">
        <v>118</v>
      </c>
      <c r="I11" s="24">
        <v>1109</v>
      </c>
      <c r="J11" s="24">
        <v>1621</v>
      </c>
      <c r="K11" s="24">
        <v>1816</v>
      </c>
      <c r="L11" s="24">
        <v>2109</v>
      </c>
      <c r="M11" s="24">
        <v>1733.6471680194898</v>
      </c>
      <c r="N11" s="24">
        <v>1698.807051092178</v>
      </c>
      <c r="O11" s="24">
        <v>1635.6751473021668</v>
      </c>
      <c r="P11" s="24">
        <v>1556.7919803760619</v>
      </c>
      <c r="Q11" s="24">
        <v>1644.6652440438811</v>
      </c>
      <c r="R11" s="24">
        <v>1622.1834633647968</v>
      </c>
      <c r="S11" s="24">
        <v>1621</v>
      </c>
      <c r="T11" s="24">
        <v>1645.6228534367942</v>
      </c>
      <c r="U11" s="24">
        <v>1654.636696809614</v>
      </c>
      <c r="V11" s="24">
        <v>1578.8122475593327</v>
      </c>
      <c r="W11" s="24">
        <v>1579.9</v>
      </c>
      <c r="X11" s="24">
        <v>1489.7</v>
      </c>
      <c r="Y11" s="24">
        <v>1416.5104173471059</v>
      </c>
      <c r="Z11" s="24">
        <v>1376.7867522959921</v>
      </c>
      <c r="AA11" s="24">
        <v>1368.2160000000001</v>
      </c>
      <c r="AB11" s="24">
        <v>1255.8720000000001</v>
      </c>
      <c r="AC11" s="24">
        <v>1086.4614696775211</v>
      </c>
      <c r="AD11" s="24">
        <v>1111.3063159999999</v>
      </c>
      <c r="AE11" s="24">
        <v>1125.5098733903596</v>
      </c>
      <c r="AF11" s="24">
        <v>1024.871184053</v>
      </c>
      <c r="AG11" s="24">
        <v>788.30658700000004</v>
      </c>
      <c r="AH11" s="24">
        <v>783.91245300000003</v>
      </c>
      <c r="AI11" s="24">
        <v>827.47447275453328</v>
      </c>
      <c r="AJ11" s="24">
        <v>753.238795281791</v>
      </c>
      <c r="AK11" s="24">
        <v>727.339743</v>
      </c>
      <c r="AL11" s="24">
        <v>789.44461200000001</v>
      </c>
      <c r="AM11" s="24">
        <v>845.33437100000003</v>
      </c>
      <c r="AN11" s="24">
        <v>741.87227310000003</v>
      </c>
      <c r="AO11" s="24">
        <v>549.42374394000001</v>
      </c>
      <c r="AP11" s="24">
        <v>621.5</v>
      </c>
      <c r="AQ11" s="24">
        <v>658.12348699999995</v>
      </c>
      <c r="AR11" s="24">
        <v>580.798226</v>
      </c>
      <c r="AS11" s="24">
        <v>620.50865699999997</v>
      </c>
      <c r="AT11" s="24">
        <v>656.82865500000003</v>
      </c>
      <c r="AU11" s="24">
        <v>694.58223799999996</v>
      </c>
      <c r="AV11" s="24">
        <v>608.15510398702861</v>
      </c>
      <c r="AW11" s="24">
        <v>248</v>
      </c>
    </row>
    <row r="12" spans="1:49">
      <c r="A12" s="1">
        <f t="shared" si="0"/>
        <v>7</v>
      </c>
      <c r="B12" s="5" t="s">
        <v>119</v>
      </c>
      <c r="C12" s="24">
        <f t="shared" ref="C12:C29" si="8">HLOOKUP($C$6,$H$6:$BF$29,$G12,FALSE)</f>
        <v>2437.9651715052864</v>
      </c>
      <c r="D12" s="24">
        <f t="shared" ref="D12:D29" si="9">HLOOKUP($D$6,$H$6:$BF$29,$G12,FALSE)</f>
        <v>2330</v>
      </c>
      <c r="E12" s="47">
        <f t="shared" ref="E12:E13" si="10">+D12/C12-1</f>
        <v>-4.4284952372237951E-2</v>
      </c>
      <c r="G12" s="56">
        <f t="shared" si="1"/>
        <v>7</v>
      </c>
      <c r="H12" s="5" t="s">
        <v>119</v>
      </c>
      <c r="I12" s="24">
        <v>1232.7135073230352</v>
      </c>
      <c r="J12" s="24">
        <v>1159.3864926769647</v>
      </c>
      <c r="K12" s="24">
        <v>1197</v>
      </c>
      <c r="L12" s="24">
        <v>1147.6374880461249</v>
      </c>
      <c r="M12" s="24">
        <v>1047.8529272624869</v>
      </c>
      <c r="N12" s="24">
        <v>1124.583491350244</v>
      </c>
      <c r="O12" s="24">
        <v>1105.54281147136</v>
      </c>
      <c r="P12" s="24">
        <v>1150.043912020727</v>
      </c>
      <c r="Q12" s="24">
        <v>1111.9510521693539</v>
      </c>
      <c r="R12" s="24">
        <v>1108.645275548731</v>
      </c>
      <c r="S12" s="24">
        <v>1160</v>
      </c>
      <c r="T12" s="24">
        <v>1126.9106603856271</v>
      </c>
      <c r="U12" s="24">
        <v>1099.855435357053</v>
      </c>
      <c r="V12" s="24">
        <v>1217.4004521789029</v>
      </c>
      <c r="W12" s="24">
        <v>1230.9000000000001</v>
      </c>
      <c r="X12" s="24">
        <v>1183.54</v>
      </c>
      <c r="Y12" s="24">
        <v>1466.8419977512128</v>
      </c>
      <c r="Z12" s="24">
        <v>1530.5063780552321</v>
      </c>
      <c r="AA12" s="24">
        <v>1541.9482833212292</v>
      </c>
      <c r="AB12" s="24">
        <v>1573.4090000000001</v>
      </c>
      <c r="AC12" s="24">
        <v>1492.418422</v>
      </c>
      <c r="AD12" s="24">
        <v>1592.1897899999999</v>
      </c>
      <c r="AE12" s="24">
        <v>1736</v>
      </c>
      <c r="AF12" s="24">
        <v>1732.873049759</v>
      </c>
      <c r="AG12" s="24">
        <v>1706.4336673559997</v>
      </c>
      <c r="AH12" s="24">
        <v>1735.752988406</v>
      </c>
      <c r="AI12" s="24">
        <v>1836.2943763810001</v>
      </c>
      <c r="AJ12" s="24">
        <v>1888.6207892510001</v>
      </c>
      <c r="AK12" s="24">
        <v>1707.3468317219999</v>
      </c>
      <c r="AL12" s="24">
        <v>1664.834742816</v>
      </c>
      <c r="AM12" s="24">
        <v>1657.2472537999997</v>
      </c>
      <c r="AN12" s="24">
        <v>1660.6383312630001</v>
      </c>
      <c r="AO12" s="24">
        <v>2400.3483970692996</v>
      </c>
      <c r="AP12" s="24">
        <v>2392.6337173741799</v>
      </c>
      <c r="AQ12" s="24">
        <v>2322.5894881851978</v>
      </c>
      <c r="AR12" s="24">
        <v>2353.6511074476302</v>
      </c>
      <c r="AS12" s="24">
        <v>2437.9651715052864</v>
      </c>
      <c r="AT12" s="24">
        <v>2324.8149741464308</v>
      </c>
      <c r="AU12" s="24">
        <v>2278.8760803244145</v>
      </c>
      <c r="AV12" s="24">
        <v>2302.6114499313521</v>
      </c>
      <c r="AW12" s="24">
        <v>2330</v>
      </c>
    </row>
    <row r="13" spans="1:49">
      <c r="A13" s="1">
        <f t="shared" si="0"/>
        <v>8</v>
      </c>
      <c r="B13" s="5" t="s">
        <v>120</v>
      </c>
      <c r="C13" s="57">
        <f t="shared" si="8"/>
        <v>304.45764578247338</v>
      </c>
      <c r="D13" s="57">
        <f t="shared" si="9"/>
        <v>553</v>
      </c>
      <c r="E13" s="47">
        <f t="shared" si="10"/>
        <v>0.8163445972222465</v>
      </c>
      <c r="G13" s="56">
        <f t="shared" si="1"/>
        <v>8</v>
      </c>
      <c r="H13" s="5" t="s">
        <v>120</v>
      </c>
      <c r="I13" s="24">
        <v>218.96751644732302</v>
      </c>
      <c r="J13" s="24">
        <v>424.53248355267698</v>
      </c>
      <c r="K13" s="24">
        <v>147</v>
      </c>
      <c r="L13" s="29">
        <v>0</v>
      </c>
      <c r="M13" s="24">
        <v>327</v>
      </c>
      <c r="N13" s="24">
        <v>484</v>
      </c>
      <c r="O13" s="24">
        <v>455.71628899999996</v>
      </c>
      <c r="P13" s="24">
        <v>177.76116454564578</v>
      </c>
      <c r="Q13" s="24">
        <v>402.79276660438609</v>
      </c>
      <c r="R13" s="24">
        <v>512.70931975909969</v>
      </c>
      <c r="S13" s="29">
        <v>0</v>
      </c>
      <c r="T13" s="29">
        <v>0</v>
      </c>
      <c r="U13" s="24">
        <v>355.57419945754248</v>
      </c>
      <c r="V13" s="24">
        <v>476.44857716393153</v>
      </c>
      <c r="W13" s="24">
        <v>215.8</v>
      </c>
      <c r="X13" s="24">
        <v>345.10789999999997</v>
      </c>
      <c r="Y13" s="24">
        <v>524.51625259600632</v>
      </c>
      <c r="Z13" s="24">
        <v>517.42100000000005</v>
      </c>
      <c r="AA13" s="24">
        <v>114.16722837205532</v>
      </c>
      <c r="AB13" s="24">
        <v>156.47899999999998</v>
      </c>
      <c r="AC13" s="24">
        <v>679.59258450063749</v>
      </c>
      <c r="AD13" s="24">
        <v>565.63741879474242</v>
      </c>
      <c r="AE13" s="24">
        <v>31</v>
      </c>
      <c r="AF13" s="57">
        <v>0</v>
      </c>
      <c r="AG13" s="57">
        <v>399.97817196043991</v>
      </c>
      <c r="AH13" s="57">
        <v>500.52412506537814</v>
      </c>
      <c r="AI13" s="57">
        <v>789.41849508749317</v>
      </c>
      <c r="AJ13" s="57">
        <v>35.209573908457287</v>
      </c>
      <c r="AK13" s="57">
        <v>87.296860983128909</v>
      </c>
      <c r="AL13" s="57">
        <v>621.59086649847029</v>
      </c>
      <c r="AM13" s="57">
        <v>253.63679747067806</v>
      </c>
      <c r="AN13" s="57">
        <v>179.794145812848</v>
      </c>
      <c r="AO13" s="57">
        <v>240</v>
      </c>
      <c r="AP13" s="24">
        <v>535</v>
      </c>
      <c r="AQ13" s="57">
        <v>230.51842516097702</v>
      </c>
      <c r="AR13" s="57">
        <v>448.44301984515789</v>
      </c>
      <c r="AS13" s="57">
        <v>304.45764578247338</v>
      </c>
      <c r="AT13" s="57">
        <v>460.25699149522723</v>
      </c>
      <c r="AU13" s="57">
        <v>249.75240306943329</v>
      </c>
      <c r="AV13" s="57">
        <v>35.158745306949982</v>
      </c>
      <c r="AW13" s="57">
        <v>553</v>
      </c>
    </row>
    <row r="14" spans="1:49" ht="5.25" customHeight="1">
      <c r="A14" s="1">
        <f t="shared" si="0"/>
        <v>9</v>
      </c>
      <c r="C14" s="80"/>
      <c r="D14" s="80"/>
      <c r="E14" s="80"/>
      <c r="G14" s="56">
        <f t="shared" si="1"/>
        <v>9</v>
      </c>
    </row>
    <row r="15" spans="1:49">
      <c r="A15" s="1">
        <f t="shared" si="0"/>
        <v>10</v>
      </c>
      <c r="B15" s="5" t="s">
        <v>121</v>
      </c>
      <c r="C15" s="24">
        <f t="shared" si="8"/>
        <v>1628.6184444444445</v>
      </c>
      <c r="D15" s="24">
        <f t="shared" si="9"/>
        <v>1336</v>
      </c>
      <c r="E15" s="47">
        <f>+D15/C15-1</f>
        <v>-0.17967280515741846</v>
      </c>
      <c r="G15" s="56">
        <f t="shared" si="1"/>
        <v>10</v>
      </c>
      <c r="H15" s="5" t="s">
        <v>121</v>
      </c>
      <c r="I15" s="24">
        <v>1750</v>
      </c>
      <c r="J15" s="24">
        <v>1676.5379</v>
      </c>
      <c r="K15" s="24">
        <v>1717</v>
      </c>
      <c r="L15" s="24">
        <v>1658.537353248</v>
      </c>
      <c r="M15" s="24">
        <v>1593</v>
      </c>
      <c r="N15" s="24">
        <v>1584.2553333333301</v>
      </c>
      <c r="O15" s="24">
        <v>1585</v>
      </c>
      <c r="P15" s="24">
        <v>1509.0192104540001</v>
      </c>
      <c r="Q15" s="24">
        <v>1516.2572692093333</v>
      </c>
      <c r="R15" s="24">
        <v>1586.312932267</v>
      </c>
      <c r="S15" s="24">
        <v>1611</v>
      </c>
      <c r="T15" s="24">
        <v>1605.0969330646667</v>
      </c>
      <c r="U15" s="24">
        <v>1608.011451372</v>
      </c>
      <c r="V15" s="24">
        <v>1580.915037662</v>
      </c>
      <c r="W15" s="24">
        <v>1615</v>
      </c>
      <c r="X15" s="24">
        <v>1629.6032617540002</v>
      </c>
      <c r="Y15" s="24">
        <v>1632.7914912306667</v>
      </c>
      <c r="Z15" s="24">
        <v>1609.7</v>
      </c>
      <c r="AA15" s="24">
        <v>1656.6028448940003</v>
      </c>
      <c r="AB15" s="24">
        <v>1663.0676706436664</v>
      </c>
      <c r="AC15" s="24">
        <v>1664</v>
      </c>
      <c r="AD15" s="24">
        <v>1574.1138055772778</v>
      </c>
      <c r="AE15" s="24">
        <v>1578.1126254887251</v>
      </c>
      <c r="AF15" s="24">
        <v>1558</v>
      </c>
      <c r="AG15" s="24">
        <v>1389.7428849012347</v>
      </c>
      <c r="AH15" s="24">
        <v>1439.5195898763534</v>
      </c>
      <c r="AI15" s="24">
        <v>1486.0694283366595</v>
      </c>
      <c r="AJ15" s="24">
        <v>1469.0334855196272</v>
      </c>
      <c r="AK15" s="24">
        <v>1323.0963587452404</v>
      </c>
      <c r="AL15" s="24">
        <v>1323.2185192444949</v>
      </c>
      <c r="AM15" s="24">
        <v>1286.3544123736108</v>
      </c>
      <c r="AN15" s="24">
        <v>1278.6488390333336</v>
      </c>
      <c r="AO15" s="24">
        <v>1463.4840641741039</v>
      </c>
      <c r="AP15" s="24">
        <v>1551.5266405666669</v>
      </c>
      <c r="AQ15" s="24">
        <v>1626.2785669833331</v>
      </c>
      <c r="AR15" s="24">
        <v>1550.5775907120942</v>
      </c>
      <c r="AS15" s="24">
        <v>1628.6184444444445</v>
      </c>
      <c r="AT15" s="24">
        <v>1622.8204694444448</v>
      </c>
      <c r="AU15" s="24">
        <v>1625.071102111111</v>
      </c>
      <c r="AV15" s="24">
        <v>1625.9696393333334</v>
      </c>
      <c r="AW15" s="24">
        <v>1336</v>
      </c>
    </row>
    <row r="16" spans="1:49" ht="10.5" customHeight="1">
      <c r="A16" s="1">
        <f t="shared" si="0"/>
        <v>11</v>
      </c>
      <c r="C16" s="80"/>
      <c r="D16" s="80"/>
      <c r="E16" s="80"/>
      <c r="G16" s="56">
        <f t="shared" si="1"/>
        <v>11</v>
      </c>
    </row>
    <row r="17" spans="1:58">
      <c r="A17" s="1">
        <f t="shared" si="0"/>
        <v>12</v>
      </c>
      <c r="B17" s="6" t="s">
        <v>122</v>
      </c>
      <c r="C17" s="114">
        <f t="shared" si="8"/>
        <v>3445.2580091795307</v>
      </c>
      <c r="D17" s="114">
        <f t="shared" si="9"/>
        <v>3224</v>
      </c>
      <c r="E17" s="66">
        <f>D17/C17-1</f>
        <v>-6.4221027449907098E-2</v>
      </c>
      <c r="G17" s="56">
        <f t="shared" si="1"/>
        <v>12</v>
      </c>
      <c r="H17" s="6" t="s">
        <v>122</v>
      </c>
      <c r="I17" s="23">
        <f>+I19+I20+I24</f>
        <v>3267.9317000000001</v>
      </c>
      <c r="J17" s="23">
        <f t="shared" ref="J17:Y17" si="11">+J19+J20+J24</f>
        <v>3498.9682999999995</v>
      </c>
      <c r="K17" s="23">
        <f t="shared" si="11"/>
        <v>3240</v>
      </c>
      <c r="L17" s="23">
        <f t="shared" si="11"/>
        <v>2855.1034</v>
      </c>
      <c r="M17" s="23">
        <f t="shared" si="11"/>
        <v>3195.3278</v>
      </c>
      <c r="N17" s="23">
        <f t="shared" si="11"/>
        <v>3388.34238</v>
      </c>
      <c r="O17" s="23">
        <f t="shared" si="11"/>
        <v>3270.1603</v>
      </c>
      <c r="P17" s="23">
        <f t="shared" si="11"/>
        <v>2792.3428942799992</v>
      </c>
      <c r="Q17" s="23">
        <f t="shared" si="11"/>
        <v>3221.5743400000001</v>
      </c>
      <c r="R17" s="23">
        <f t="shared" si="11"/>
        <v>3312.9959699999995</v>
      </c>
      <c r="S17" s="23">
        <f t="shared" si="11"/>
        <v>2412</v>
      </c>
      <c r="T17" s="23">
        <f t="shared" si="11"/>
        <v>2329.3105321120001</v>
      </c>
      <c r="U17" s="23">
        <f>+U19+U20+U24</f>
        <v>3191.2302385571666</v>
      </c>
      <c r="V17" s="23">
        <f t="shared" si="11"/>
        <v>3386.4810116580002</v>
      </c>
      <c r="W17" s="23">
        <f t="shared" si="11"/>
        <v>3058.0208900000002</v>
      </c>
      <c r="X17" s="23">
        <f t="shared" si="11"/>
        <v>3079.87891455</v>
      </c>
      <c r="Y17" s="23">
        <f t="shared" si="11"/>
        <v>3455.3460179723684</v>
      </c>
      <c r="Z17" s="23">
        <f t="shared" ref="Z17:AD17" si="12">+Z19+Z20+Z24</f>
        <v>3514.8398608767438</v>
      </c>
      <c r="AA17" s="23">
        <f t="shared" si="12"/>
        <v>3026.0395302917295</v>
      </c>
      <c r="AB17" s="23">
        <f t="shared" si="12"/>
        <v>3009.206121845772</v>
      </c>
      <c r="AC17" s="23">
        <f t="shared" si="12"/>
        <v>3334.4824444330111</v>
      </c>
      <c r="AD17" s="23">
        <f t="shared" si="12"/>
        <v>3334.3651071043373</v>
      </c>
      <c r="AE17" s="23">
        <f t="shared" ref="AE17:AO17" si="13">+AE19+AE20+AE24</f>
        <v>2589.5097437221884</v>
      </c>
      <c r="AF17" s="23">
        <f t="shared" si="13"/>
        <v>2668.8125995100431</v>
      </c>
      <c r="AG17" s="23">
        <f t="shared" si="13"/>
        <v>2984.4361867917678</v>
      </c>
      <c r="AH17" s="23">
        <f t="shared" si="13"/>
        <v>3113.9792090261044</v>
      </c>
      <c r="AI17" s="23">
        <f t="shared" si="13"/>
        <v>3546.1705021388707</v>
      </c>
      <c r="AJ17" s="23">
        <f t="shared" si="13"/>
        <v>2458.4844822617697</v>
      </c>
      <c r="AK17" s="23">
        <f t="shared" si="13"/>
        <v>2427.5366890469759</v>
      </c>
      <c r="AL17" s="23">
        <f t="shared" si="13"/>
        <v>3178.2279143636388</v>
      </c>
      <c r="AM17" s="23">
        <f t="shared" si="13"/>
        <v>2848.5002574529099</v>
      </c>
      <c r="AN17" s="23">
        <f t="shared" si="13"/>
        <v>2539.9450362503558</v>
      </c>
      <c r="AO17" s="23">
        <f t="shared" si="13"/>
        <v>3250.2045634470992</v>
      </c>
      <c r="AP17" s="23">
        <f>+AP19+AP20+AP24</f>
        <v>3622.6417945302269</v>
      </c>
      <c r="AQ17" s="23">
        <v>3245.4704948692488</v>
      </c>
      <c r="AR17" s="23">
        <f>+AR19+AR20+AR24</f>
        <v>3451.635545530441</v>
      </c>
      <c r="AS17" s="23">
        <v>3445.2580091795307</v>
      </c>
      <c r="AT17" s="23">
        <v>3514</v>
      </c>
      <c r="AU17" s="23">
        <v>3236.9239240970542</v>
      </c>
      <c r="AV17" s="23">
        <f>+AV19+AV20+AV24</f>
        <v>2779.3657215288804</v>
      </c>
      <c r="AW17" s="23">
        <f>+AW19+AW20+AW24</f>
        <v>3224</v>
      </c>
      <c r="BA17" s="25"/>
      <c r="BB17" s="25"/>
      <c r="BC17" s="25"/>
      <c r="BD17" s="25"/>
      <c r="BE17" s="25"/>
      <c r="BF17" s="69"/>
    </row>
    <row r="18" spans="1:58" ht="5.25" customHeight="1">
      <c r="A18" s="1">
        <f t="shared" si="0"/>
        <v>13</v>
      </c>
      <c r="C18" s="80"/>
      <c r="D18" s="80"/>
      <c r="E18" s="80"/>
      <c r="G18" s="56">
        <f t="shared" si="1"/>
        <v>13</v>
      </c>
    </row>
    <row r="19" spans="1:58">
      <c r="A19" s="1">
        <f t="shared" si="0"/>
        <v>14</v>
      </c>
      <c r="B19" s="27" t="s">
        <v>123</v>
      </c>
      <c r="C19" s="28">
        <f t="shared" si="8"/>
        <v>955.55370000000016</v>
      </c>
      <c r="D19" s="28">
        <f t="shared" si="9"/>
        <v>1624</v>
      </c>
      <c r="E19" s="96">
        <f>+D19/C19-1</f>
        <v>0.69953818398693834</v>
      </c>
      <c r="G19" s="56">
        <f t="shared" si="1"/>
        <v>14</v>
      </c>
      <c r="H19" s="27" t="s">
        <v>123</v>
      </c>
      <c r="I19" s="28">
        <v>1108.7977000000001</v>
      </c>
      <c r="J19" s="28">
        <v>1620.9022999999997</v>
      </c>
      <c r="K19" s="28">
        <v>1816</v>
      </c>
      <c r="L19" s="28">
        <v>2109.0504000000001</v>
      </c>
      <c r="M19" s="28">
        <v>1097.7067999999999</v>
      </c>
      <c r="N19" s="28">
        <v>1357.50828</v>
      </c>
      <c r="O19" s="28">
        <v>1723.634</v>
      </c>
      <c r="P19" s="28">
        <v>2285.4995499999995</v>
      </c>
      <c r="Q19" s="28">
        <v>1287.5566399999998</v>
      </c>
      <c r="R19" s="28">
        <v>1338.0191999999997</v>
      </c>
      <c r="S19" s="28">
        <v>988</v>
      </c>
      <c r="T19" s="28">
        <v>1153.0769</v>
      </c>
      <c r="U19" s="28">
        <v>1089.2442348041668</v>
      </c>
      <c r="V19" s="28">
        <v>1248.1063999999999</v>
      </c>
      <c r="W19" s="28">
        <v>1403.1208899999999</v>
      </c>
      <c r="X19" s="28">
        <v>2156.30267</v>
      </c>
      <c r="Y19" s="28">
        <v>1409.2049400000001</v>
      </c>
      <c r="Z19" s="28">
        <v>1433.3703999999998</v>
      </c>
      <c r="AA19" s="28">
        <v>1348.5269000000001</v>
      </c>
      <c r="AB19" s="28">
        <v>2120.86</v>
      </c>
      <c r="AC19" s="28">
        <v>1194.2386000000001</v>
      </c>
      <c r="AD19" s="28">
        <v>1371.5127</v>
      </c>
      <c r="AE19" s="28">
        <v>1316.77403</v>
      </c>
      <c r="AF19" s="28">
        <v>1236.0530999999996</v>
      </c>
      <c r="AG19" s="28">
        <v>1119.644</v>
      </c>
      <c r="AH19" s="28">
        <v>981.54162999999994</v>
      </c>
      <c r="AI19" s="28">
        <v>1529.7404300000001</v>
      </c>
      <c r="AJ19" s="28">
        <v>1965.3616099999999</v>
      </c>
      <c r="AK19" s="28">
        <v>887.18420000000015</v>
      </c>
      <c r="AL19" s="28">
        <v>1155.0339199999999</v>
      </c>
      <c r="AM19" s="28">
        <v>899.10449999999992</v>
      </c>
      <c r="AN19" s="28">
        <v>963.90317000000005</v>
      </c>
      <c r="AO19" s="28">
        <v>804.20897000000002</v>
      </c>
      <c r="AP19" s="28">
        <v>1001.4244000000001</v>
      </c>
      <c r="AQ19" s="28">
        <v>1654.1555000000001</v>
      </c>
      <c r="AR19" s="28">
        <v>1703.0052000000001</v>
      </c>
      <c r="AS19" s="28">
        <v>955.55370000000016</v>
      </c>
      <c r="AT19" s="28">
        <v>1140.1500000000001</v>
      </c>
      <c r="AU19" s="28">
        <v>2427.6502</v>
      </c>
      <c r="AV19" s="28">
        <v>2349.1103000000003</v>
      </c>
      <c r="AW19" s="28">
        <v>1624</v>
      </c>
    </row>
    <row r="20" spans="1:58">
      <c r="A20" s="1">
        <f t="shared" si="0"/>
        <v>15</v>
      </c>
      <c r="B20" s="27" t="s">
        <v>124</v>
      </c>
      <c r="C20" s="28">
        <f t="shared" si="8"/>
        <v>2274.0099999999998</v>
      </c>
      <c r="D20" s="28">
        <f t="shared" si="9"/>
        <v>1398</v>
      </c>
      <c r="E20" s="96">
        <f>+D20/C20-1</f>
        <v>-0.38522697789367677</v>
      </c>
      <c r="G20" s="56">
        <f t="shared" si="1"/>
        <v>15</v>
      </c>
      <c r="H20" s="27" t="s">
        <v>124</v>
      </c>
      <c r="I20" s="28">
        <f>SUM(I21:I23)</f>
        <v>2159.134</v>
      </c>
      <c r="J20" s="28">
        <f t="shared" ref="J20:Y20" si="14">SUM(J21:J23)</f>
        <v>1878.0659999999998</v>
      </c>
      <c r="K20" s="28">
        <f t="shared" si="14"/>
        <v>1424</v>
      </c>
      <c r="L20" s="28">
        <f t="shared" si="14"/>
        <v>719.053</v>
      </c>
      <c r="M20" s="28">
        <f t="shared" si="14"/>
        <v>2079.7550000000001</v>
      </c>
      <c r="N20" s="28">
        <f t="shared" si="14"/>
        <v>2003.309</v>
      </c>
      <c r="O20" s="28">
        <f t="shared" si="14"/>
        <v>1519.4349999999999</v>
      </c>
      <c r="P20" s="28">
        <f t="shared" si="14"/>
        <v>467.988</v>
      </c>
      <c r="Q20" s="28">
        <f t="shared" si="14"/>
        <v>1915.18</v>
      </c>
      <c r="R20" s="28">
        <f t="shared" si="14"/>
        <v>1956.502</v>
      </c>
      <c r="S20" s="28">
        <f t="shared" si="14"/>
        <v>1396</v>
      </c>
      <c r="T20" s="28">
        <f t="shared" si="14"/>
        <v>1146.3820000000001</v>
      </c>
      <c r="U20" s="28">
        <f t="shared" si="14"/>
        <v>2080.1379999999999</v>
      </c>
      <c r="V20" s="28">
        <f t="shared" si="14"/>
        <v>2109.0740000000001</v>
      </c>
      <c r="W20" s="28">
        <f t="shared" si="14"/>
        <v>1625.5</v>
      </c>
      <c r="X20" s="28">
        <f t="shared" si="14"/>
        <v>887.74</v>
      </c>
      <c r="Y20" s="28">
        <f t="shared" si="14"/>
        <v>2019.9259999999999</v>
      </c>
      <c r="Z20" s="28">
        <f t="shared" ref="Z20:AE20" si="15">SUM(Z21:Z23)</f>
        <v>2052.0571999999997</v>
      </c>
      <c r="AA20" s="28">
        <f t="shared" si="15"/>
        <v>1640.9929999999999</v>
      </c>
      <c r="AB20" s="28">
        <f t="shared" si="15"/>
        <v>844.64</v>
      </c>
      <c r="AC20" s="28">
        <f t="shared" si="15"/>
        <v>2113.667219685</v>
      </c>
      <c r="AD20" s="28">
        <f t="shared" si="15"/>
        <v>1902.7019399999999</v>
      </c>
      <c r="AE20" s="28">
        <f t="shared" si="15"/>
        <v>1164.2910000000002</v>
      </c>
      <c r="AF20" s="28">
        <f t="shared" ref="AF20:AL20" si="16">SUM(AF21:AF23)</f>
        <v>1327.2567999999999</v>
      </c>
      <c r="AG20" s="28">
        <f t="shared" si="16"/>
        <v>1838.4737999999998</v>
      </c>
      <c r="AH20" s="28">
        <f t="shared" si="16"/>
        <v>2108.0429999999997</v>
      </c>
      <c r="AI20" s="28">
        <f t="shared" si="16"/>
        <v>1977.8985600000001</v>
      </c>
      <c r="AJ20" s="28">
        <f t="shared" si="16"/>
        <v>450.48900000000003</v>
      </c>
      <c r="AK20" s="28">
        <f t="shared" si="16"/>
        <v>1512.6569999999999</v>
      </c>
      <c r="AL20" s="28">
        <f t="shared" si="16"/>
        <v>1997.664</v>
      </c>
      <c r="AM20" s="28">
        <f>SUM(AM21:AM23)</f>
        <v>1861.0379999999996</v>
      </c>
      <c r="AN20" s="28">
        <f>SUM(AN21:AN23)</f>
        <v>1409.5749999999998</v>
      </c>
      <c r="AO20" s="28">
        <f t="shared" ref="AO20:AP20" si="17">SUM(AO21:AO23)</f>
        <v>2194.5060000000003</v>
      </c>
      <c r="AP20" s="28">
        <f t="shared" si="17"/>
        <v>2370.7759999999998</v>
      </c>
      <c r="AQ20" s="28">
        <v>1420.4859999999999</v>
      </c>
      <c r="AR20" s="28">
        <f>+SUM(AR21:AR23)</f>
        <v>1550.095</v>
      </c>
      <c r="AS20" s="28">
        <v>2274.0099999999998</v>
      </c>
      <c r="AT20" s="28">
        <v>2204</v>
      </c>
      <c r="AU20" s="28">
        <f t="shared" ref="AU20" si="18">SUM(AU21:AU23)</f>
        <v>655.7940000000001</v>
      </c>
      <c r="AV20" s="28">
        <v>237.23599999999999</v>
      </c>
      <c r="AW20" s="28">
        <v>1398</v>
      </c>
    </row>
    <row r="21" spans="1:58">
      <c r="A21" s="1">
        <f t="shared" si="0"/>
        <v>16</v>
      </c>
      <c r="B21" s="5" t="s">
        <v>125</v>
      </c>
      <c r="C21" s="24">
        <f t="shared" si="8"/>
        <v>1640.5029999999999</v>
      </c>
      <c r="D21" s="24">
        <f t="shared" si="9"/>
        <v>831</v>
      </c>
      <c r="E21" s="47">
        <f>+D21/C21-1</f>
        <v>-0.49344804611756266</v>
      </c>
      <c r="G21" s="56">
        <f t="shared" si="1"/>
        <v>16</v>
      </c>
      <c r="H21" s="5" t="s">
        <v>125</v>
      </c>
      <c r="I21" s="24">
        <v>1357.1130000000001</v>
      </c>
      <c r="J21" s="24">
        <v>929.08699999999976</v>
      </c>
      <c r="K21" s="24">
        <v>536</v>
      </c>
      <c r="L21" s="24">
        <v>188.97200000000001</v>
      </c>
      <c r="M21" s="24">
        <v>1146.7660000000001</v>
      </c>
      <c r="N21" s="24">
        <v>1201.8629999999998</v>
      </c>
      <c r="O21" s="24">
        <v>868.34900000000005</v>
      </c>
      <c r="P21" s="24">
        <v>204.482</v>
      </c>
      <c r="Q21" s="24">
        <v>1212.1610000000001</v>
      </c>
      <c r="R21" s="24">
        <v>1027.8029999999999</v>
      </c>
      <c r="S21" s="24">
        <v>559</v>
      </c>
      <c r="T21" s="24">
        <v>795.11400000000003</v>
      </c>
      <c r="U21" s="24">
        <v>1300.9190000000001</v>
      </c>
      <c r="V21" s="24">
        <v>1248.1420000000001</v>
      </c>
      <c r="W21" s="24">
        <v>846.3</v>
      </c>
      <c r="X21" s="24">
        <v>495.12900000000002</v>
      </c>
      <c r="Y21" s="24">
        <v>1268.5309999999999</v>
      </c>
      <c r="Z21" s="24">
        <v>1341.1381999999999</v>
      </c>
      <c r="AA21" s="24">
        <v>914.07899999999995</v>
      </c>
      <c r="AB21" s="24">
        <v>335.71</v>
      </c>
      <c r="AC21" s="24">
        <v>1362.9110000000001</v>
      </c>
      <c r="AD21" s="24">
        <v>1199.1079999999999</v>
      </c>
      <c r="AE21" s="24">
        <v>965.79200000000014</v>
      </c>
      <c r="AF21" s="24">
        <v>979.50349999999992</v>
      </c>
      <c r="AG21" s="24">
        <v>1190.3717999999999</v>
      </c>
      <c r="AH21" s="24">
        <v>1425.2629999999999</v>
      </c>
      <c r="AI21" s="24">
        <v>1429.42956</v>
      </c>
      <c r="AJ21" s="24">
        <v>62.475000000000001</v>
      </c>
      <c r="AK21" s="24">
        <v>722.05399999999997</v>
      </c>
      <c r="AL21" s="24">
        <v>1206.932</v>
      </c>
      <c r="AM21" s="24">
        <v>1039.9879999999998</v>
      </c>
      <c r="AN21" s="24">
        <v>997.404</v>
      </c>
      <c r="AO21" s="24">
        <v>1526.4650000000001</v>
      </c>
      <c r="AP21" s="24">
        <v>1564.117</v>
      </c>
      <c r="AQ21" s="24">
        <v>680.93499999999995</v>
      </c>
      <c r="AR21" s="24">
        <v>1195.625</v>
      </c>
      <c r="AS21" s="24">
        <v>1640.5029999999999</v>
      </c>
      <c r="AT21" s="24">
        <v>1531.43</v>
      </c>
      <c r="AU21" s="24">
        <v>434.07300000000004</v>
      </c>
      <c r="AV21" s="24">
        <v>148.13200000000001</v>
      </c>
      <c r="AW21" s="24">
        <v>831</v>
      </c>
    </row>
    <row r="22" spans="1:58">
      <c r="A22" s="1">
        <f t="shared" si="0"/>
        <v>17</v>
      </c>
      <c r="B22" s="5" t="s">
        <v>126</v>
      </c>
      <c r="C22" s="24">
        <f t="shared" si="8"/>
        <v>22.802</v>
      </c>
      <c r="D22" s="24">
        <f t="shared" si="9"/>
        <v>2</v>
      </c>
      <c r="E22" s="47">
        <f t="shared" ref="E22:E29" si="19">+D22/C22-1</f>
        <v>-0.9122883957547584</v>
      </c>
      <c r="G22" s="56">
        <f t="shared" si="1"/>
        <v>17</v>
      </c>
      <c r="H22" s="5" t="s">
        <v>126</v>
      </c>
      <c r="I22" s="24">
        <v>96.025000000000006</v>
      </c>
      <c r="J22" s="24">
        <v>231.07500000000002</v>
      </c>
      <c r="K22" s="24">
        <v>216</v>
      </c>
      <c r="L22" s="24">
        <v>2.7489999999999997</v>
      </c>
      <c r="M22" s="24">
        <v>141.345</v>
      </c>
      <c r="N22" s="24">
        <v>101.99799999999999</v>
      </c>
      <c r="O22" s="24">
        <v>0.33800000000000002</v>
      </c>
      <c r="P22" s="24">
        <v>0.50900000000000001</v>
      </c>
      <c r="Q22" s="24">
        <v>3.5060000000000002</v>
      </c>
      <c r="R22" s="24">
        <v>204.721</v>
      </c>
      <c r="S22" s="24">
        <v>94</v>
      </c>
      <c r="T22" s="24">
        <v>12.699</v>
      </c>
      <c r="U22" s="24">
        <v>43.264000000000003</v>
      </c>
      <c r="V22" s="24">
        <v>122.758</v>
      </c>
      <c r="W22" s="24">
        <v>32.299999999999997</v>
      </c>
      <c r="X22" s="24">
        <v>7.6610000000000005</v>
      </c>
      <c r="Y22" s="24">
        <v>14.943999999999999</v>
      </c>
      <c r="Z22" s="24">
        <v>28.54</v>
      </c>
      <c r="AA22" s="24">
        <v>21.773</v>
      </c>
      <c r="AB22" s="24">
        <v>13.209999999999999</v>
      </c>
      <c r="AC22" s="24">
        <v>51.590219684999994</v>
      </c>
      <c r="AD22" s="24">
        <v>12.888939999999998</v>
      </c>
      <c r="AE22" s="24">
        <v>5.3000000000000005E-2</v>
      </c>
      <c r="AF22" s="24">
        <v>2.0883000000000003</v>
      </c>
      <c r="AG22" s="24">
        <v>31.466000000000001</v>
      </c>
      <c r="AH22" s="24">
        <v>31.5</v>
      </c>
      <c r="AI22" s="24">
        <v>3.4470000000000001</v>
      </c>
      <c r="AJ22" s="24">
        <v>5.99</v>
      </c>
      <c r="AK22" s="24">
        <v>118.843</v>
      </c>
      <c r="AL22" s="24">
        <v>45.290000000000006</v>
      </c>
      <c r="AM22" s="24">
        <v>101.78299999999999</v>
      </c>
      <c r="AN22" s="24">
        <v>28.376999999999999</v>
      </c>
      <c r="AO22" s="24">
        <v>29.93</v>
      </c>
      <c r="AP22" s="24">
        <v>153.40800000000002</v>
      </c>
      <c r="AQ22" s="24">
        <v>22.573999999999998</v>
      </c>
      <c r="AR22" s="24">
        <v>10.247</v>
      </c>
      <c r="AS22" s="24">
        <v>22.802</v>
      </c>
      <c r="AT22" s="24">
        <v>38.57</v>
      </c>
      <c r="AU22" s="24">
        <v>0.505</v>
      </c>
      <c r="AV22" s="24">
        <v>2.0099999999999998</v>
      </c>
      <c r="AW22" s="24">
        <v>2</v>
      </c>
    </row>
    <row r="23" spans="1:58">
      <c r="A23" s="1">
        <f t="shared" si="0"/>
        <v>18</v>
      </c>
      <c r="B23" s="5" t="s">
        <v>127</v>
      </c>
      <c r="C23" s="24">
        <f t="shared" si="8"/>
        <v>610.70500000000004</v>
      </c>
      <c r="D23" s="24">
        <f t="shared" si="9"/>
        <v>565</v>
      </c>
      <c r="E23" s="47">
        <f t="shared" si="19"/>
        <v>-7.4839734405318548E-2</v>
      </c>
      <c r="G23" s="56">
        <f t="shared" si="1"/>
        <v>18</v>
      </c>
      <c r="H23" s="5" t="s">
        <v>127</v>
      </c>
      <c r="I23" s="24">
        <v>705.99599999999998</v>
      </c>
      <c r="J23" s="24">
        <v>717.90400000000011</v>
      </c>
      <c r="K23" s="24">
        <v>672</v>
      </c>
      <c r="L23" s="24">
        <v>527.33199999999999</v>
      </c>
      <c r="M23" s="24">
        <v>791.64400000000001</v>
      </c>
      <c r="N23" s="24">
        <v>699.44800000000009</v>
      </c>
      <c r="O23" s="24">
        <v>650.74800000000005</v>
      </c>
      <c r="P23" s="24">
        <v>262.99700000000001</v>
      </c>
      <c r="Q23" s="24">
        <v>699.51299999999992</v>
      </c>
      <c r="R23" s="24">
        <v>723.97800000000007</v>
      </c>
      <c r="S23" s="24">
        <v>743</v>
      </c>
      <c r="T23" s="24">
        <v>338.56899999999996</v>
      </c>
      <c r="U23" s="24">
        <v>735.95499999999993</v>
      </c>
      <c r="V23" s="24">
        <v>738.17399999999998</v>
      </c>
      <c r="W23" s="24">
        <v>746.9</v>
      </c>
      <c r="X23" s="24">
        <v>384.94999999999993</v>
      </c>
      <c r="Y23" s="24">
        <v>736.45100000000002</v>
      </c>
      <c r="Z23" s="24">
        <v>682.37900000000002</v>
      </c>
      <c r="AA23" s="24">
        <v>705.14099999999996</v>
      </c>
      <c r="AB23" s="24">
        <v>495.72</v>
      </c>
      <c r="AC23" s="24">
        <v>699.16600000000005</v>
      </c>
      <c r="AD23" s="24">
        <v>690.70500000000004</v>
      </c>
      <c r="AE23" s="24">
        <v>198.446</v>
      </c>
      <c r="AF23" s="24">
        <v>345.66499999999996</v>
      </c>
      <c r="AG23" s="24">
        <v>616.63599999999997</v>
      </c>
      <c r="AH23" s="24">
        <v>651.28</v>
      </c>
      <c r="AI23" s="24">
        <v>545.02200000000005</v>
      </c>
      <c r="AJ23" s="24">
        <v>382.024</v>
      </c>
      <c r="AK23" s="24">
        <v>671.76</v>
      </c>
      <c r="AL23" s="24">
        <v>745.44200000000001</v>
      </c>
      <c r="AM23" s="24">
        <v>719.26699999999994</v>
      </c>
      <c r="AN23" s="24">
        <v>383.79399999999998</v>
      </c>
      <c r="AO23" s="24">
        <v>638.1110000000001</v>
      </c>
      <c r="AP23" s="24">
        <v>653.25099999999998</v>
      </c>
      <c r="AQ23" s="24">
        <v>716.97700000000009</v>
      </c>
      <c r="AR23" s="24">
        <v>344.22300000000001</v>
      </c>
      <c r="AS23" s="24">
        <v>610.70500000000004</v>
      </c>
      <c r="AT23" s="24">
        <v>634.25</v>
      </c>
      <c r="AU23" s="24">
        <v>221.21600000000001</v>
      </c>
      <c r="AV23" s="24">
        <v>87.093999999999994</v>
      </c>
      <c r="AW23" s="24">
        <v>565</v>
      </c>
    </row>
    <row r="24" spans="1:58">
      <c r="A24" s="1">
        <f t="shared" si="0"/>
        <v>19</v>
      </c>
      <c r="B24" s="27" t="s">
        <v>128</v>
      </c>
      <c r="C24" s="28">
        <f t="shared" si="8"/>
        <v>215.69430917953127</v>
      </c>
      <c r="D24" s="28">
        <f t="shared" si="9"/>
        <v>202</v>
      </c>
      <c r="E24" s="96">
        <f t="shared" si="19"/>
        <v>-6.3489432018964065E-2</v>
      </c>
      <c r="G24" s="56">
        <f t="shared" si="1"/>
        <v>19</v>
      </c>
      <c r="H24" s="27" t="s">
        <v>128</v>
      </c>
      <c r="I24" s="30">
        <f>SUM(I25:I26)</f>
        <v>0</v>
      </c>
      <c r="J24" s="30">
        <f t="shared" ref="J24:Y24" si="20">SUM(J25:J26)</f>
        <v>0</v>
      </c>
      <c r="K24" s="30">
        <f t="shared" si="20"/>
        <v>0</v>
      </c>
      <c r="L24" s="28">
        <f t="shared" si="20"/>
        <v>27</v>
      </c>
      <c r="M24" s="28">
        <f t="shared" si="20"/>
        <v>17.866000000000003</v>
      </c>
      <c r="N24" s="28">
        <f t="shared" si="20"/>
        <v>27.525100000000002</v>
      </c>
      <c r="O24" s="28">
        <f t="shared" si="20"/>
        <v>27.0913</v>
      </c>
      <c r="P24" s="28">
        <f t="shared" si="20"/>
        <v>38.855344280000011</v>
      </c>
      <c r="Q24" s="28">
        <f t="shared" si="20"/>
        <v>18.837700000000002</v>
      </c>
      <c r="R24" s="28">
        <f t="shared" si="20"/>
        <v>18.474769999999999</v>
      </c>
      <c r="S24" s="28">
        <f t="shared" si="20"/>
        <v>28</v>
      </c>
      <c r="T24" s="28">
        <f t="shared" si="20"/>
        <v>29.851632112000004</v>
      </c>
      <c r="U24" s="28">
        <f t="shared" si="20"/>
        <v>21.848003753000004</v>
      </c>
      <c r="V24" s="28">
        <f t="shared" si="20"/>
        <v>29.300611658000001</v>
      </c>
      <c r="W24" s="28">
        <f t="shared" si="20"/>
        <v>29.4</v>
      </c>
      <c r="X24" s="28">
        <f t="shared" si="20"/>
        <v>35.836244550000004</v>
      </c>
      <c r="Y24" s="28">
        <f t="shared" si="20"/>
        <v>26.215077972368299</v>
      </c>
      <c r="Z24" s="28">
        <f t="shared" ref="Z24" si="21">SUM(Z25:Z26)</f>
        <v>29.41226087674421</v>
      </c>
      <c r="AA24" s="28">
        <f t="shared" ref="AA24:AJ24" si="22">SUM(AA25:AA26)</f>
        <v>36.519630291729221</v>
      </c>
      <c r="AB24" s="28">
        <f t="shared" si="22"/>
        <v>43.706121845772216</v>
      </c>
      <c r="AC24" s="28">
        <f t="shared" si="22"/>
        <v>26.576624748011</v>
      </c>
      <c r="AD24" s="28">
        <f t="shared" si="22"/>
        <v>60.150467104336997</v>
      </c>
      <c r="AE24" s="28">
        <f t="shared" si="22"/>
        <v>108.44471372218833</v>
      </c>
      <c r="AF24" s="28">
        <f t="shared" si="22"/>
        <v>105.50269951004388</v>
      </c>
      <c r="AG24" s="28">
        <f t="shared" si="22"/>
        <v>26.318386791767686</v>
      </c>
      <c r="AH24" s="28">
        <f t="shared" si="22"/>
        <v>24.394579026104999</v>
      </c>
      <c r="AI24" s="28">
        <f t="shared" si="22"/>
        <v>38.531512138870092</v>
      </c>
      <c r="AJ24" s="28">
        <f t="shared" si="22"/>
        <v>42.633872261769937</v>
      </c>
      <c r="AK24" s="28">
        <f>SUM(AK25:AK26)</f>
        <v>27.695489046976014</v>
      </c>
      <c r="AL24" s="28">
        <f>SUM(AL25:AL26)</f>
        <v>25.529994363639318</v>
      </c>
      <c r="AM24" s="28">
        <f>SUM(AM25:AM26)</f>
        <v>88.357757452910192</v>
      </c>
      <c r="AN24" s="28">
        <f>+SUM(AN25:AN26)</f>
        <v>166.46686625035599</v>
      </c>
      <c r="AO24" s="28">
        <f>SUM(AO25:AO26)</f>
        <v>251.48959344709863</v>
      </c>
      <c r="AP24" s="28">
        <f>SUM(AP25:AP26)</f>
        <v>250.44139453022714</v>
      </c>
      <c r="AQ24" s="28">
        <v>170.82899486924816</v>
      </c>
      <c r="AR24" s="28">
        <f>+SUM(AR25:AR26)</f>
        <v>198.53534553044113</v>
      </c>
      <c r="AS24" s="28">
        <f t="shared" ref="AS24:AU24" si="23">+SUM(AS25:AS26)</f>
        <v>215.69430917953127</v>
      </c>
      <c r="AT24" s="28">
        <f t="shared" si="23"/>
        <v>170.11999999999998</v>
      </c>
      <c r="AU24" s="28">
        <f t="shared" si="23"/>
        <v>153.47972409705409</v>
      </c>
      <c r="AV24" s="99">
        <v>193.01942152888</v>
      </c>
      <c r="AW24" s="99">
        <v>202</v>
      </c>
    </row>
    <row r="25" spans="1:58">
      <c r="A25" s="1">
        <f t="shared" si="0"/>
        <v>20</v>
      </c>
      <c r="B25" s="5" t="s">
        <v>129</v>
      </c>
      <c r="C25" s="29">
        <f t="shared" si="8"/>
        <v>19.005010000000013</v>
      </c>
      <c r="D25" s="29">
        <f t="shared" si="9"/>
        <v>21</v>
      </c>
      <c r="E25" s="47">
        <f t="shared" si="19"/>
        <v>0.10497179427950765</v>
      </c>
      <c r="G25" s="56">
        <f t="shared" si="1"/>
        <v>20</v>
      </c>
      <c r="H25" s="5" t="s">
        <v>129</v>
      </c>
      <c r="I25" s="29">
        <v>0</v>
      </c>
      <c r="J25" s="29">
        <v>0</v>
      </c>
      <c r="K25" s="29">
        <v>0</v>
      </c>
      <c r="L25" s="24">
        <v>27</v>
      </c>
      <c r="M25" s="24">
        <v>17.866000000000003</v>
      </c>
      <c r="N25" s="24">
        <v>27.525100000000002</v>
      </c>
      <c r="O25" s="24">
        <v>27.0913</v>
      </c>
      <c r="P25" s="24">
        <v>38.855344280000011</v>
      </c>
      <c r="Q25" s="24">
        <v>18.837700000000002</v>
      </c>
      <c r="R25" s="24">
        <v>18.474769999999999</v>
      </c>
      <c r="S25" s="24">
        <v>28</v>
      </c>
      <c r="T25" s="24">
        <v>29.851632112000004</v>
      </c>
      <c r="U25" s="24">
        <v>21.848003753000004</v>
      </c>
      <c r="V25" s="24">
        <v>29.300611658000001</v>
      </c>
      <c r="W25" s="24">
        <v>29.4</v>
      </c>
      <c r="X25" s="24">
        <v>35.836244550000004</v>
      </c>
      <c r="Y25" s="24">
        <v>25.603801381104297</v>
      </c>
      <c r="Z25" s="24">
        <v>26.332554626443208</v>
      </c>
      <c r="AA25" s="24">
        <v>33.033485733932224</v>
      </c>
      <c r="AB25" s="24">
        <v>36.79612184577222</v>
      </c>
      <c r="AC25" s="24">
        <v>20.165046798408</v>
      </c>
      <c r="AD25" s="24">
        <v>57.085455013663996</v>
      </c>
      <c r="AE25" s="24">
        <v>104.68628249675183</v>
      </c>
      <c r="AF25" s="24">
        <v>98.468849971651082</v>
      </c>
      <c r="AG25" s="29">
        <v>19.689539782499988</v>
      </c>
      <c r="AH25" s="24">
        <v>21.309542624999999</v>
      </c>
      <c r="AI25" s="24">
        <v>34.433420699999992</v>
      </c>
      <c r="AJ25" s="24">
        <v>35.235859575000035</v>
      </c>
      <c r="AK25" s="29">
        <v>21.419570000000014</v>
      </c>
      <c r="AL25" s="29">
        <v>22.435517000000015</v>
      </c>
      <c r="AM25" s="29">
        <v>84.723199999999991</v>
      </c>
      <c r="AN25" s="29">
        <v>41.485839999999996</v>
      </c>
      <c r="AO25" s="29">
        <v>33.298859999999976</v>
      </c>
      <c r="AP25" s="29">
        <v>24.154230000000002</v>
      </c>
      <c r="AQ25" s="29">
        <v>26.608487000000018</v>
      </c>
      <c r="AR25" s="29">
        <v>24.793479999999988</v>
      </c>
      <c r="AS25" s="29">
        <v>19.005010000000013</v>
      </c>
      <c r="AT25" s="29">
        <v>22.2</v>
      </c>
      <c r="AU25" s="29">
        <v>27.699690000000004</v>
      </c>
      <c r="AV25" s="29">
        <v>31.993730000000042</v>
      </c>
      <c r="AW25" s="29">
        <v>21</v>
      </c>
    </row>
    <row r="26" spans="1:58">
      <c r="A26" s="1">
        <f t="shared" si="0"/>
        <v>21</v>
      </c>
      <c r="B26" s="5" t="s">
        <v>130</v>
      </c>
      <c r="C26" s="29">
        <f t="shared" si="8"/>
        <v>196.68929917953128</v>
      </c>
      <c r="D26" s="29">
        <f t="shared" si="9"/>
        <v>181</v>
      </c>
      <c r="E26" s="47">
        <f t="shared" si="19"/>
        <v>-7.9766917900351175E-2</v>
      </c>
      <c r="G26" s="56">
        <f t="shared" si="1"/>
        <v>21</v>
      </c>
      <c r="H26" s="5" t="s">
        <v>130</v>
      </c>
      <c r="I26" s="29">
        <v>0</v>
      </c>
      <c r="J26" s="29">
        <v>0</v>
      </c>
      <c r="K26" s="29">
        <v>0</v>
      </c>
      <c r="L26" s="29">
        <v>0</v>
      </c>
      <c r="M26" s="29">
        <v>0</v>
      </c>
      <c r="N26" s="29">
        <v>0</v>
      </c>
      <c r="O26" s="29">
        <v>0</v>
      </c>
      <c r="P26" s="29">
        <v>0</v>
      </c>
      <c r="Q26" s="29">
        <v>0</v>
      </c>
      <c r="R26" s="29">
        <v>0</v>
      </c>
      <c r="S26" s="29">
        <v>0</v>
      </c>
      <c r="T26" s="29">
        <v>0</v>
      </c>
      <c r="U26" s="29">
        <v>0</v>
      </c>
      <c r="V26" s="29">
        <v>0</v>
      </c>
      <c r="W26" s="29">
        <v>0</v>
      </c>
      <c r="X26" s="29">
        <v>0</v>
      </c>
      <c r="Y26" s="29">
        <v>0.61127659126400002</v>
      </c>
      <c r="Z26" s="29">
        <v>3.0797062503010002</v>
      </c>
      <c r="AA26" s="29">
        <v>3.4861445577970001</v>
      </c>
      <c r="AB26" s="29">
        <v>6.91</v>
      </c>
      <c r="AC26" s="29">
        <v>6.4115779496030001</v>
      </c>
      <c r="AD26" s="29">
        <v>3.0650120906730001</v>
      </c>
      <c r="AE26" s="29">
        <v>3.7584312254364995</v>
      </c>
      <c r="AF26" s="24">
        <v>7.0338495383928006</v>
      </c>
      <c r="AG26" s="29">
        <v>6.6288470092676999</v>
      </c>
      <c r="AH26" s="29">
        <v>3.085036401105</v>
      </c>
      <c r="AI26" s="29">
        <v>4.0980914388700995</v>
      </c>
      <c r="AJ26" s="29">
        <v>7.398012686769901</v>
      </c>
      <c r="AK26" s="29">
        <v>6.2759190469760009</v>
      </c>
      <c r="AL26" s="29">
        <v>3.0944773636393013</v>
      </c>
      <c r="AM26" s="29">
        <v>3.6345574529101992</v>
      </c>
      <c r="AN26" s="29">
        <v>124.981026250356</v>
      </c>
      <c r="AO26" s="29">
        <v>218.19073344709864</v>
      </c>
      <c r="AP26" s="29">
        <v>226.28716453022713</v>
      </c>
      <c r="AQ26" s="29">
        <v>144.22050786924814</v>
      </c>
      <c r="AR26" s="29">
        <v>173.74186553044115</v>
      </c>
      <c r="AS26" s="29">
        <v>196.68929917953128</v>
      </c>
      <c r="AT26" s="29">
        <v>147.91999999999999</v>
      </c>
      <c r="AU26" s="29">
        <v>125.78003409705408</v>
      </c>
      <c r="AV26" s="29">
        <v>161.02569152887995</v>
      </c>
      <c r="AW26" s="29">
        <v>181</v>
      </c>
    </row>
    <row r="27" spans="1:58">
      <c r="A27" s="1">
        <f t="shared" si="0"/>
        <v>22</v>
      </c>
      <c r="B27" s="27" t="s">
        <v>131</v>
      </c>
      <c r="C27" s="30">
        <f t="shared" si="8"/>
        <v>0</v>
      </c>
      <c r="D27" s="30">
        <f t="shared" si="9"/>
        <v>0</v>
      </c>
      <c r="E27" s="47" t="s">
        <v>132</v>
      </c>
      <c r="G27" s="56">
        <f t="shared" si="1"/>
        <v>22</v>
      </c>
      <c r="H27" s="27" t="s">
        <v>131</v>
      </c>
      <c r="I27" s="29">
        <v>0</v>
      </c>
      <c r="J27" s="29">
        <v>0</v>
      </c>
      <c r="K27" s="28">
        <v>23.8</v>
      </c>
      <c r="L27" s="28">
        <v>119.8</v>
      </c>
      <c r="M27" s="29">
        <v>0</v>
      </c>
      <c r="N27" s="29">
        <v>0</v>
      </c>
      <c r="O27" s="29">
        <v>0</v>
      </c>
      <c r="P27" s="28">
        <v>124</v>
      </c>
      <c r="Q27" s="29">
        <v>0</v>
      </c>
      <c r="R27" s="29">
        <v>0</v>
      </c>
      <c r="S27" s="28">
        <v>433</v>
      </c>
      <c r="T27" s="28">
        <v>490</v>
      </c>
      <c r="U27" s="29">
        <v>0</v>
      </c>
      <c r="V27" s="29">
        <v>0</v>
      </c>
      <c r="W27" s="28">
        <v>52.114804692825103</v>
      </c>
      <c r="X27" s="30">
        <v>0</v>
      </c>
      <c r="Y27" s="30">
        <v>0</v>
      </c>
      <c r="Z27" s="30">
        <v>0</v>
      </c>
      <c r="AA27" s="30">
        <v>65.028804890240636</v>
      </c>
      <c r="AB27" s="30">
        <v>29.296061395493101</v>
      </c>
      <c r="AC27" s="30">
        <v>0</v>
      </c>
      <c r="AD27" s="30">
        <v>0</v>
      </c>
      <c r="AE27" s="30">
        <v>369</v>
      </c>
      <c r="AF27" s="30">
        <v>102.91959303165353</v>
      </c>
      <c r="AG27" s="30">
        <v>0</v>
      </c>
      <c r="AH27" s="30">
        <v>0</v>
      </c>
      <c r="AI27" s="30">
        <v>0</v>
      </c>
      <c r="AJ27" s="30">
        <v>269.7378305259823</v>
      </c>
      <c r="AK27" s="30">
        <v>180.38096507499472</v>
      </c>
      <c r="AL27" s="30">
        <v>0</v>
      </c>
      <c r="AM27" s="30">
        <v>0</v>
      </c>
      <c r="AN27" s="30">
        <v>105.3</v>
      </c>
      <c r="AO27" s="30">
        <v>0</v>
      </c>
      <c r="AP27" s="30">
        <v>0</v>
      </c>
      <c r="AQ27" s="30">
        <v>35.746797153592098</v>
      </c>
      <c r="AR27" s="30">
        <v>0</v>
      </c>
      <c r="AS27" s="30">
        <v>0</v>
      </c>
      <c r="AT27" s="30">
        <v>0</v>
      </c>
      <c r="AU27" s="30">
        <v>16</v>
      </c>
      <c r="AV27" s="30">
        <v>175.73004669365855</v>
      </c>
      <c r="AW27" s="30">
        <v>0</v>
      </c>
    </row>
    <row r="28" spans="1:58" ht="5.25" customHeight="1">
      <c r="A28" s="1">
        <f t="shared" si="0"/>
        <v>23</v>
      </c>
      <c r="C28" s="80"/>
      <c r="D28" s="80"/>
      <c r="E28" s="97"/>
      <c r="G28" s="56">
        <f t="shared" si="1"/>
        <v>23</v>
      </c>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row>
    <row r="29" spans="1:58">
      <c r="A29" s="1">
        <f t="shared" si="0"/>
        <v>24</v>
      </c>
      <c r="B29" s="19" t="s">
        <v>133</v>
      </c>
      <c r="C29" s="26">
        <f t="shared" si="8"/>
        <v>304.45764578247338</v>
      </c>
      <c r="D29" s="26">
        <f t="shared" si="9"/>
        <v>553</v>
      </c>
      <c r="E29" s="53">
        <f t="shared" si="19"/>
        <v>0.8163445972222465</v>
      </c>
      <c r="G29" s="56">
        <f t="shared" si="1"/>
        <v>24</v>
      </c>
      <c r="H29" s="19" t="s">
        <v>133</v>
      </c>
      <c r="I29" s="26">
        <f>I13-I27</f>
        <v>218.96751644732302</v>
      </c>
      <c r="J29" s="26">
        <f t="shared" ref="J29:W29" si="24">J13-J27</f>
        <v>424.53248355267698</v>
      </c>
      <c r="K29" s="26">
        <f t="shared" si="24"/>
        <v>123.2</v>
      </c>
      <c r="L29" s="26">
        <f t="shared" si="24"/>
        <v>-119.8</v>
      </c>
      <c r="M29" s="26">
        <f t="shared" si="24"/>
        <v>327</v>
      </c>
      <c r="N29" s="26">
        <f t="shared" si="24"/>
        <v>484</v>
      </c>
      <c r="O29" s="26">
        <f t="shared" si="24"/>
        <v>455.71628899999996</v>
      </c>
      <c r="P29" s="26">
        <f t="shared" si="24"/>
        <v>53.761164545645784</v>
      </c>
      <c r="Q29" s="26">
        <f t="shared" si="24"/>
        <v>402.79276660438609</v>
      </c>
      <c r="R29" s="26">
        <f t="shared" si="24"/>
        <v>512.70931975909969</v>
      </c>
      <c r="S29" s="26">
        <f t="shared" si="24"/>
        <v>-433</v>
      </c>
      <c r="T29" s="26">
        <f t="shared" si="24"/>
        <v>-490</v>
      </c>
      <c r="U29" s="26">
        <f>U13-U27</f>
        <v>355.57419945754248</v>
      </c>
      <c r="V29" s="26">
        <f t="shared" si="24"/>
        <v>476.44857716393153</v>
      </c>
      <c r="W29" s="26">
        <f t="shared" si="24"/>
        <v>163.68519530717492</v>
      </c>
      <c r="X29" s="26">
        <f t="shared" ref="X29:Y29" si="25">X13-X27</f>
        <v>345.10789999999997</v>
      </c>
      <c r="Y29" s="26">
        <f t="shared" si="25"/>
        <v>524.51625259600632</v>
      </c>
      <c r="Z29" s="26">
        <f>Z13-Z27</f>
        <v>517.42100000000005</v>
      </c>
      <c r="AA29" s="26">
        <f>AA13-AA27</f>
        <v>49.138423481814684</v>
      </c>
      <c r="AB29" s="26">
        <f t="shared" ref="AB29:AE29" si="26">AB13-AB27</f>
        <v>127.18293860450689</v>
      </c>
      <c r="AC29" s="26">
        <f t="shared" si="26"/>
        <v>679.59258450063749</v>
      </c>
      <c r="AD29" s="26">
        <f t="shared" si="26"/>
        <v>565.63741879474242</v>
      </c>
      <c r="AE29" s="26">
        <f t="shared" si="26"/>
        <v>-338</v>
      </c>
      <c r="AF29" s="26">
        <f t="shared" ref="AF29:AL29" si="27">AF13-AF27</f>
        <v>-102.91959303165353</v>
      </c>
      <c r="AG29" s="26">
        <f t="shared" si="27"/>
        <v>399.97817196043991</v>
      </c>
      <c r="AH29" s="26">
        <f t="shared" si="27"/>
        <v>500.52412506537814</v>
      </c>
      <c r="AI29" s="26">
        <f t="shared" si="27"/>
        <v>789.41849508749317</v>
      </c>
      <c r="AJ29" s="26">
        <f t="shared" si="27"/>
        <v>-234.52825661752502</v>
      </c>
      <c r="AK29" s="26">
        <f t="shared" si="27"/>
        <v>-93.084104091865811</v>
      </c>
      <c r="AL29" s="26">
        <f t="shared" si="27"/>
        <v>621.59086649847029</v>
      </c>
      <c r="AM29" s="26">
        <f>AM13-AM27</f>
        <v>253.63679747067806</v>
      </c>
      <c r="AN29" s="26">
        <f>AN13-AN27</f>
        <v>74.494145812848004</v>
      </c>
      <c r="AO29" s="26">
        <f>AO13-AO27</f>
        <v>240</v>
      </c>
      <c r="AP29" s="26">
        <f t="shared" ref="AP29:AW29" si="28">AP13-AP27</f>
        <v>535</v>
      </c>
      <c r="AQ29" s="26">
        <f t="shared" si="28"/>
        <v>194.77162800738492</v>
      </c>
      <c r="AR29" s="26">
        <f t="shared" si="28"/>
        <v>448.44301984515789</v>
      </c>
      <c r="AS29" s="26">
        <f t="shared" si="28"/>
        <v>304.45764578247338</v>
      </c>
      <c r="AT29" s="26">
        <f t="shared" si="28"/>
        <v>460.25699149522723</v>
      </c>
      <c r="AU29" s="26">
        <f t="shared" si="28"/>
        <v>233.75240306943329</v>
      </c>
      <c r="AV29" s="26">
        <f t="shared" si="28"/>
        <v>-140.57130138670857</v>
      </c>
      <c r="AW29" s="26">
        <f t="shared" si="28"/>
        <v>553</v>
      </c>
    </row>
    <row r="30" spans="1:58">
      <c r="E30" s="55"/>
    </row>
    <row r="34" spans="1:49" ht="23.5">
      <c r="B34" s="11" t="s">
        <v>37</v>
      </c>
      <c r="C34" s="12"/>
      <c r="D34" s="12"/>
      <c r="E34" s="12"/>
      <c r="H34" s="11" t="s">
        <v>37</v>
      </c>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row>
    <row r="36" spans="1:49">
      <c r="A36" s="1">
        <v>1</v>
      </c>
      <c r="B36" s="3" t="s">
        <v>72</v>
      </c>
      <c r="C36" s="139" t="str">
        <f>C6</f>
        <v>1Q23</v>
      </c>
      <c r="D36" s="139" t="str">
        <f>D6</f>
        <v>1Q24</v>
      </c>
      <c r="E36" s="139" t="s">
        <v>75</v>
      </c>
      <c r="G36" s="56">
        <v>1</v>
      </c>
      <c r="H36" s="3" t="s">
        <v>76</v>
      </c>
      <c r="I36" s="139" t="s">
        <v>77</v>
      </c>
      <c r="J36" s="139" t="s">
        <v>78</v>
      </c>
      <c r="K36" s="139" t="s">
        <v>79</v>
      </c>
      <c r="L36" s="139" t="s">
        <v>80</v>
      </c>
      <c r="M36" s="139" t="s">
        <v>81</v>
      </c>
      <c r="N36" s="139" t="s">
        <v>82</v>
      </c>
      <c r="O36" s="139" t="s">
        <v>83</v>
      </c>
      <c r="P36" s="139" t="s">
        <v>84</v>
      </c>
      <c r="Q36" s="139" t="s">
        <v>85</v>
      </c>
      <c r="R36" s="139" t="s">
        <v>86</v>
      </c>
      <c r="S36" s="139" t="s">
        <v>87</v>
      </c>
      <c r="T36" s="139" t="s">
        <v>88</v>
      </c>
      <c r="U36" s="139" t="s">
        <v>89</v>
      </c>
      <c r="V36" s="139" t="s">
        <v>90</v>
      </c>
      <c r="W36" s="139" t="s">
        <v>91</v>
      </c>
      <c r="X36" s="139" t="s">
        <v>92</v>
      </c>
      <c r="Y36" s="139" t="s">
        <v>93</v>
      </c>
      <c r="Z36" s="139" t="s">
        <v>94</v>
      </c>
      <c r="AA36" s="139" t="s">
        <v>95</v>
      </c>
      <c r="AB36" s="139" t="s">
        <v>96</v>
      </c>
      <c r="AC36" s="139" t="s">
        <v>97</v>
      </c>
      <c r="AD36" s="139" t="s">
        <v>98</v>
      </c>
      <c r="AE36" s="139" t="s">
        <v>99</v>
      </c>
      <c r="AF36" s="139" t="s">
        <v>100</v>
      </c>
      <c r="AG36" s="139" t="s">
        <v>101</v>
      </c>
      <c r="AH36" s="139" t="s">
        <v>102</v>
      </c>
      <c r="AI36" s="139" t="s">
        <v>103</v>
      </c>
      <c r="AJ36" s="139" t="s">
        <v>104</v>
      </c>
      <c r="AK36" s="139" t="s">
        <v>105</v>
      </c>
      <c r="AL36" s="139" t="s">
        <v>106</v>
      </c>
      <c r="AM36" s="139" t="s">
        <v>107</v>
      </c>
      <c r="AN36" s="139" t="s">
        <v>108</v>
      </c>
      <c r="AO36" s="139" t="s">
        <v>109</v>
      </c>
      <c r="AP36" s="139" t="s">
        <v>110</v>
      </c>
      <c r="AQ36" s="139" t="s">
        <v>111</v>
      </c>
      <c r="AR36" s="139" t="s">
        <v>112</v>
      </c>
      <c r="AS36" s="139" t="s">
        <v>73</v>
      </c>
      <c r="AT36" s="139" t="s">
        <v>113</v>
      </c>
      <c r="AU36" s="139" t="s">
        <v>114</v>
      </c>
      <c r="AV36" s="139" t="s">
        <v>115</v>
      </c>
      <c r="AW36" s="139" t="s">
        <v>74</v>
      </c>
    </row>
    <row r="37" spans="1:49">
      <c r="A37" s="1">
        <v>2</v>
      </c>
      <c r="B37" s="3" t="s">
        <v>116</v>
      </c>
      <c r="C37" s="139"/>
      <c r="D37" s="139"/>
      <c r="E37" s="139"/>
      <c r="G37" s="56">
        <f>G36+1</f>
        <v>2</v>
      </c>
      <c r="H37" s="3" t="s">
        <v>116</v>
      </c>
      <c r="I37" s="139"/>
      <c r="J37" s="139"/>
      <c r="K37" s="139"/>
      <c r="L37" s="139"/>
      <c r="M37" s="139"/>
      <c r="N37" s="139"/>
      <c r="O37" s="139"/>
      <c r="P37" s="139"/>
      <c r="Q37" s="139"/>
      <c r="R37" s="139"/>
      <c r="S37" s="139"/>
      <c r="T37" s="139"/>
      <c r="U37" s="139"/>
      <c r="V37" s="139"/>
      <c r="W37" s="139"/>
      <c r="X37" s="139"/>
      <c r="Y37" s="139"/>
      <c r="Z37" s="139"/>
      <c r="AA37" s="139"/>
      <c r="AB37" s="139"/>
      <c r="AC37" s="139"/>
      <c r="AD37" s="139"/>
      <c r="AE37" s="139"/>
      <c r="AF37" s="139"/>
      <c r="AG37" s="139"/>
      <c r="AH37" s="139"/>
      <c r="AI37" s="139"/>
      <c r="AJ37" s="139"/>
      <c r="AK37" s="139"/>
      <c r="AL37" s="139"/>
      <c r="AM37" s="139"/>
      <c r="AN37" s="139"/>
      <c r="AO37" s="139"/>
      <c r="AP37" s="139"/>
      <c r="AQ37" s="139"/>
      <c r="AR37" s="139"/>
      <c r="AS37" s="139"/>
      <c r="AT37" s="139"/>
      <c r="AU37" s="139"/>
      <c r="AV37" s="139"/>
      <c r="AW37" s="139"/>
    </row>
    <row r="38" spans="1:49">
      <c r="A38" s="1">
        <v>3</v>
      </c>
      <c r="G38" s="56">
        <f t="shared" ref="G38:G51" si="29">G37+1</f>
        <v>3</v>
      </c>
    </row>
    <row r="39" spans="1:49">
      <c r="A39" s="1">
        <v>4</v>
      </c>
      <c r="B39" s="6" t="s">
        <v>117</v>
      </c>
      <c r="C39" s="23">
        <f>SUM(C41:C42)</f>
        <v>950.48982971991609</v>
      </c>
      <c r="D39" s="23">
        <f>SUM(D41:D42)</f>
        <v>817.05418446802037</v>
      </c>
      <c r="E39" s="66">
        <f>D39/C39-1</f>
        <v>-0.14038618939375247</v>
      </c>
      <c r="G39" s="56">
        <f t="shared" si="29"/>
        <v>4</v>
      </c>
      <c r="H39" s="6" t="s">
        <v>117</v>
      </c>
      <c r="I39" s="31"/>
      <c r="J39" s="31"/>
      <c r="K39" s="31"/>
      <c r="L39" s="31"/>
      <c r="M39" s="31"/>
      <c r="N39" s="31"/>
      <c r="O39" s="31"/>
      <c r="P39" s="31"/>
      <c r="Q39" s="23">
        <f>Q41+Q42</f>
        <v>896.15477393720892</v>
      </c>
      <c r="R39" s="23">
        <f t="shared" ref="R39:W39" si="30">R41+R42</f>
        <v>966.33258163299797</v>
      </c>
      <c r="S39" s="23">
        <f t="shared" si="30"/>
        <v>931.47193074071765</v>
      </c>
      <c r="T39" s="23">
        <f t="shared" si="30"/>
        <v>1184.7649773808278</v>
      </c>
      <c r="U39" s="23">
        <f t="shared" si="30"/>
        <v>788.82634795288288</v>
      </c>
      <c r="V39" s="23">
        <f t="shared" si="30"/>
        <v>1049</v>
      </c>
      <c r="W39" s="23">
        <f t="shared" si="30"/>
        <v>1163.3114928183011</v>
      </c>
      <c r="X39" s="23">
        <f t="shared" ref="X39:Y39" si="31">X41+X42</f>
        <v>1110.2813305312957</v>
      </c>
      <c r="Y39" s="23">
        <f t="shared" si="31"/>
        <v>809.94496876190215</v>
      </c>
      <c r="Z39" s="23">
        <f t="shared" ref="Z39:AE39" si="32">Z41+Z42</f>
        <v>978.76345776423216</v>
      </c>
      <c r="AA39" s="23">
        <f t="shared" si="32"/>
        <v>1096.5211357750077</v>
      </c>
      <c r="AB39" s="23">
        <f t="shared" si="32"/>
        <v>1159.7479302785923</v>
      </c>
      <c r="AC39" s="23">
        <f t="shared" si="32"/>
        <v>941.93401631200777</v>
      </c>
      <c r="AD39" s="23">
        <f t="shared" si="32"/>
        <v>983.01939262984422</v>
      </c>
      <c r="AE39" s="23">
        <f t="shared" si="32"/>
        <v>1160.60459709322</v>
      </c>
      <c r="AF39" s="23">
        <f t="shared" ref="AF39:AO39" si="33">AF41+AF42</f>
        <v>825.0815780808764</v>
      </c>
      <c r="AG39" s="23">
        <f t="shared" si="33"/>
        <v>515.44411977188861</v>
      </c>
      <c r="AH39" s="23">
        <f t="shared" si="33"/>
        <v>626.65296885991324</v>
      </c>
      <c r="AI39" s="23">
        <f t="shared" si="33"/>
        <v>1018.899188234898</v>
      </c>
      <c r="AJ39" s="23">
        <f t="shared" si="33"/>
        <v>965.98011462914837</v>
      </c>
      <c r="AK39" s="23">
        <f t="shared" si="33"/>
        <v>560.96413158793575</v>
      </c>
      <c r="AL39" s="23">
        <f t="shared" si="33"/>
        <v>877.86212596818189</v>
      </c>
      <c r="AM39" s="23">
        <f t="shared" si="33"/>
        <v>1183.6065573044966</v>
      </c>
      <c r="AN39" s="23">
        <f t="shared" si="33"/>
        <v>906.64523534285752</v>
      </c>
      <c r="AO39" s="23">
        <f t="shared" si="33"/>
        <v>1001.9415212568607</v>
      </c>
      <c r="AP39" s="23">
        <v>952.37681311411916</v>
      </c>
      <c r="AQ39" s="23">
        <v>1150</v>
      </c>
      <c r="AR39" s="23">
        <f>+AR41+AR42</f>
        <v>1174.6311800154549</v>
      </c>
      <c r="AS39" s="23">
        <v>950.48982971991609</v>
      </c>
      <c r="AT39" s="23">
        <v>888.66200499877345</v>
      </c>
      <c r="AU39" s="23">
        <v>1168.5378808233431</v>
      </c>
      <c r="AV39" s="23">
        <v>987</v>
      </c>
      <c r="AW39" s="23">
        <v>817</v>
      </c>
    </row>
    <row r="40" spans="1:49" ht="6" customHeight="1">
      <c r="A40" s="1">
        <v>5</v>
      </c>
      <c r="E40" s="52"/>
      <c r="G40" s="56">
        <f t="shared" si="29"/>
        <v>5</v>
      </c>
      <c r="I40" s="32"/>
      <c r="J40" s="32"/>
      <c r="K40" s="32"/>
      <c r="L40" s="32"/>
      <c r="M40" s="32"/>
      <c r="N40" s="32"/>
      <c r="O40" s="32"/>
      <c r="P40" s="32"/>
    </row>
    <row r="41" spans="1:49">
      <c r="A41" s="1">
        <v>6</v>
      </c>
      <c r="B41" s="5" t="s">
        <v>134</v>
      </c>
      <c r="C41" s="24">
        <f>HLOOKUP($C$6,$H$36:$BF$51,$G41,FALSE)</f>
        <v>868.01545914077974</v>
      </c>
      <c r="D41" s="24">
        <f>HLOOKUP($D$6,$H$36:$BF$51,$G41,FALSE)</f>
        <v>578</v>
      </c>
      <c r="E41" s="47">
        <f>+D41/C41-1</f>
        <v>-0.33411324197826686</v>
      </c>
      <c r="F41" s="52"/>
      <c r="G41" s="56">
        <f t="shared" si="29"/>
        <v>6</v>
      </c>
      <c r="H41" s="5" t="s">
        <v>134</v>
      </c>
      <c r="I41" s="33"/>
      <c r="J41" s="33"/>
      <c r="K41" s="33"/>
      <c r="L41" s="33"/>
      <c r="M41" s="33"/>
      <c r="N41" s="33"/>
      <c r="O41" s="33"/>
      <c r="P41" s="33"/>
      <c r="Q41" s="24">
        <v>896.15477393720892</v>
      </c>
      <c r="R41" s="24">
        <v>895</v>
      </c>
      <c r="S41" s="24">
        <v>660.8546595771212</v>
      </c>
      <c r="T41" s="24">
        <v>701.74175820562186</v>
      </c>
      <c r="U41" s="24">
        <v>670.14557932067135</v>
      </c>
      <c r="V41" s="24">
        <v>713</v>
      </c>
      <c r="W41" s="24">
        <v>808.7313863700075</v>
      </c>
      <c r="X41" s="24">
        <v>820.11765848199025</v>
      </c>
      <c r="Y41" s="24">
        <v>754.11900053134241</v>
      </c>
      <c r="Z41" s="24">
        <v>805.13023617018166</v>
      </c>
      <c r="AA41" s="24">
        <v>725.43641713442707</v>
      </c>
      <c r="AB41" s="24">
        <v>716.78307257861093</v>
      </c>
      <c r="AC41" s="24">
        <v>752.74025687093615</v>
      </c>
      <c r="AD41" s="24">
        <v>706.19687364754577</v>
      </c>
      <c r="AE41" s="24">
        <v>730.50346933265155</v>
      </c>
      <c r="AF41" s="24">
        <v>732.89679752741722</v>
      </c>
      <c r="AG41" s="24">
        <v>515.44411977188861</v>
      </c>
      <c r="AH41" s="24">
        <v>412.61388027848921</v>
      </c>
      <c r="AI41" s="24">
        <v>466.68086721477931</v>
      </c>
      <c r="AJ41" s="24">
        <v>489.79016563977711</v>
      </c>
      <c r="AK41" s="24">
        <v>509.42713583293488</v>
      </c>
      <c r="AL41" s="24">
        <v>503.87157825194322</v>
      </c>
      <c r="AM41" s="24">
        <v>506.87877990606654</v>
      </c>
      <c r="AN41" s="24">
        <v>525.56750682169206</v>
      </c>
      <c r="AO41" s="24">
        <v>617.02986788140606</v>
      </c>
      <c r="AP41" s="24">
        <v>589.54164912118472</v>
      </c>
      <c r="AQ41" s="24">
        <v>597.40086312962057</v>
      </c>
      <c r="AR41" s="24">
        <v>618.76980656410842</v>
      </c>
      <c r="AS41" s="24">
        <v>868.01545914077974</v>
      </c>
      <c r="AT41" s="24">
        <v>850.02894917809385</v>
      </c>
      <c r="AU41" s="24">
        <v>814</v>
      </c>
      <c r="AV41" s="24">
        <v>838.4</v>
      </c>
      <c r="AW41" s="24">
        <v>578</v>
      </c>
    </row>
    <row r="42" spans="1:49">
      <c r="A42" s="1">
        <v>7</v>
      </c>
      <c r="B42" s="5" t="s">
        <v>120</v>
      </c>
      <c r="C42" s="24">
        <f t="shared" ref="C42:C51" si="34">HLOOKUP($C$6,$H$36:$BF$51,$G42,FALSE)</f>
        <v>82.474370579136405</v>
      </c>
      <c r="D42" s="24">
        <f t="shared" ref="D42:D51" si="35">HLOOKUP($D$6,$H$36:$BF$51,$G42,FALSE)</f>
        <v>239.05418446802031</v>
      </c>
      <c r="E42" s="115" t="s">
        <v>132</v>
      </c>
      <c r="G42" s="56">
        <f t="shared" si="29"/>
        <v>7</v>
      </c>
      <c r="H42" s="5" t="s">
        <v>120</v>
      </c>
      <c r="I42" s="33"/>
      <c r="J42" s="33"/>
      <c r="K42" s="33"/>
      <c r="L42" s="33"/>
      <c r="M42" s="33"/>
      <c r="N42" s="33"/>
      <c r="O42" s="33"/>
      <c r="P42" s="33"/>
      <c r="Q42" s="33">
        <v>0</v>
      </c>
      <c r="R42" s="24">
        <v>71.332581632997972</v>
      </c>
      <c r="S42" s="24">
        <v>270.61727116359646</v>
      </c>
      <c r="T42" s="24">
        <v>483.0232191752059</v>
      </c>
      <c r="U42" s="24">
        <v>118.68076863221151</v>
      </c>
      <c r="V42" s="24">
        <v>336</v>
      </c>
      <c r="W42" s="24">
        <v>354.58010644829352</v>
      </c>
      <c r="X42" s="24">
        <v>290.16367204930543</v>
      </c>
      <c r="Y42" s="24">
        <v>55.825968230559759</v>
      </c>
      <c r="Z42" s="24">
        <v>173.63322159405053</v>
      </c>
      <c r="AA42" s="24">
        <v>371.0847186405806</v>
      </c>
      <c r="AB42" s="24">
        <v>442.96485769998151</v>
      </c>
      <c r="AC42" s="24">
        <v>189.19375944107159</v>
      </c>
      <c r="AD42" s="24">
        <v>276.82251898229845</v>
      </c>
      <c r="AE42" s="24">
        <v>430.10112776056849</v>
      </c>
      <c r="AF42" s="24">
        <v>92.184780553459206</v>
      </c>
      <c r="AG42" s="24">
        <v>0</v>
      </c>
      <c r="AH42" s="24">
        <v>214.03908858142407</v>
      </c>
      <c r="AI42" s="24">
        <v>552.21832102011876</v>
      </c>
      <c r="AJ42" s="24">
        <v>476.18994898937126</v>
      </c>
      <c r="AK42" s="24">
        <v>51.536995755000873</v>
      </c>
      <c r="AL42" s="24">
        <v>373.99054771623867</v>
      </c>
      <c r="AM42" s="24">
        <v>676.72777739843013</v>
      </c>
      <c r="AN42" s="24">
        <v>381.07772852116545</v>
      </c>
      <c r="AO42" s="24">
        <v>384.91165337545465</v>
      </c>
      <c r="AP42" s="24">
        <v>362.83516399293444</v>
      </c>
      <c r="AQ42" s="24">
        <v>553</v>
      </c>
      <c r="AR42" s="24">
        <v>555.86137345134637</v>
      </c>
      <c r="AS42" s="24">
        <v>82.474370579136405</v>
      </c>
      <c r="AT42" s="24">
        <v>38.633055820679544</v>
      </c>
      <c r="AU42" s="24">
        <v>355</v>
      </c>
      <c r="AV42" s="24">
        <v>148.4</v>
      </c>
      <c r="AW42" s="24">
        <v>239.05418446802031</v>
      </c>
    </row>
    <row r="43" spans="1:49" ht="6" customHeight="1">
      <c r="A43" s="1">
        <v>8</v>
      </c>
      <c r="C43" s="25">
        <f t="shared" si="34"/>
        <v>0</v>
      </c>
      <c r="D43" s="25">
        <f t="shared" si="35"/>
        <v>0</v>
      </c>
      <c r="E43" s="52"/>
      <c r="G43" s="56">
        <f t="shared" si="29"/>
        <v>8</v>
      </c>
      <c r="I43" s="32"/>
      <c r="J43" s="32"/>
      <c r="K43" s="32"/>
      <c r="L43" s="32"/>
      <c r="M43" s="32"/>
      <c r="N43" s="32"/>
      <c r="O43" s="32"/>
      <c r="P43" s="32"/>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row>
    <row r="44" spans="1:49">
      <c r="A44" s="1">
        <v>9</v>
      </c>
      <c r="B44" s="5" t="s">
        <v>121</v>
      </c>
      <c r="C44" s="24">
        <f t="shared" si="34"/>
        <v>570.01257505399542</v>
      </c>
      <c r="D44" s="24">
        <f t="shared" si="35"/>
        <v>571</v>
      </c>
      <c r="E44" s="115">
        <f t="shared" ref="E44" si="36">+D44/C44-1</f>
        <v>1.7322862498445613E-3</v>
      </c>
      <c r="G44" s="56">
        <f t="shared" si="29"/>
        <v>9</v>
      </c>
      <c r="H44" s="5" t="s">
        <v>121</v>
      </c>
      <c r="I44" s="33"/>
      <c r="J44" s="33"/>
      <c r="K44" s="33"/>
      <c r="L44" s="33"/>
      <c r="M44" s="33"/>
      <c r="N44" s="33"/>
      <c r="O44" s="33"/>
      <c r="P44" s="33"/>
      <c r="Q44" s="24">
        <v>561</v>
      </c>
      <c r="R44" s="24">
        <v>561.85</v>
      </c>
      <c r="S44" s="24">
        <v>563</v>
      </c>
      <c r="T44" s="24">
        <v>563.79843672169034</v>
      </c>
      <c r="U44" s="24">
        <v>562.0491675086156</v>
      </c>
      <c r="V44" s="24">
        <v>555</v>
      </c>
      <c r="W44" s="24">
        <v>556.32527854111379</v>
      </c>
      <c r="X44" s="24">
        <v>553.79857139638716</v>
      </c>
      <c r="Y44" s="24">
        <v>551.44933226868807</v>
      </c>
      <c r="Z44" s="24">
        <v>550.05621080812159</v>
      </c>
      <c r="AA44" s="24">
        <v>552.75187275807718</v>
      </c>
      <c r="AB44" s="24">
        <v>553.50897294893377</v>
      </c>
      <c r="AC44" s="24">
        <v>554.83417320313413</v>
      </c>
      <c r="AD44" s="24">
        <v>556.62828233456105</v>
      </c>
      <c r="AE44" s="24">
        <v>430.10112776056849</v>
      </c>
      <c r="AF44" s="24">
        <v>558.47159496645133</v>
      </c>
      <c r="AG44" s="24">
        <v>557.94881104256535</v>
      </c>
      <c r="AH44" s="24">
        <v>559.66719784939505</v>
      </c>
      <c r="AI44" s="24">
        <v>558.44830965854737</v>
      </c>
      <c r="AJ44" s="24">
        <v>558.44795283732333</v>
      </c>
      <c r="AK44" s="24">
        <v>560.43931524796665</v>
      </c>
      <c r="AL44" s="24">
        <v>563.2322290763849</v>
      </c>
      <c r="AM44" s="24">
        <v>564.61862806833153</v>
      </c>
      <c r="AN44" s="24">
        <v>566.05694539025978</v>
      </c>
      <c r="AO44" s="24">
        <v>567.77232808725637</v>
      </c>
      <c r="AP44" s="24">
        <v>567.71736581526534</v>
      </c>
      <c r="AQ44" s="24">
        <v>570</v>
      </c>
      <c r="AR44" s="24">
        <v>569.88417776799838</v>
      </c>
      <c r="AS44" s="24">
        <v>570.01257505399542</v>
      </c>
      <c r="AT44" s="24">
        <v>569.84318797499998</v>
      </c>
      <c r="AU44" s="24">
        <v>570</v>
      </c>
      <c r="AV44" s="24">
        <v>570</v>
      </c>
      <c r="AW44" s="24">
        <v>571</v>
      </c>
    </row>
    <row r="45" spans="1:49" ht="12.75" customHeight="1">
      <c r="A45" s="1">
        <v>10</v>
      </c>
      <c r="E45" s="52"/>
      <c r="G45" s="56">
        <f t="shared" si="29"/>
        <v>10</v>
      </c>
      <c r="I45" s="32"/>
      <c r="J45" s="32"/>
      <c r="K45" s="32"/>
      <c r="L45" s="32"/>
      <c r="M45" s="32"/>
      <c r="N45" s="32"/>
      <c r="O45" s="32"/>
      <c r="P45" s="32"/>
    </row>
    <row r="46" spans="1:49">
      <c r="A46" s="1">
        <v>11</v>
      </c>
      <c r="B46" s="6" t="s">
        <v>122</v>
      </c>
      <c r="C46" s="23">
        <f t="shared" si="34"/>
        <v>969.29690750710495</v>
      </c>
      <c r="D46" s="23">
        <f t="shared" si="35"/>
        <v>771</v>
      </c>
      <c r="E46" s="66">
        <f>D46/C46-1</f>
        <v>-0.20457808744804173</v>
      </c>
      <c r="G46" s="56">
        <f t="shared" si="29"/>
        <v>11</v>
      </c>
      <c r="H46" s="6" t="s">
        <v>122</v>
      </c>
      <c r="I46" s="31"/>
      <c r="J46" s="31"/>
      <c r="K46" s="31"/>
      <c r="L46" s="31"/>
      <c r="M46" s="31"/>
      <c r="N46" s="31"/>
      <c r="O46" s="31"/>
      <c r="P46" s="31"/>
      <c r="Q46" s="23">
        <v>663</v>
      </c>
      <c r="R46" s="23">
        <v>800</v>
      </c>
      <c r="S46" s="23">
        <v>906.60296019489226</v>
      </c>
      <c r="T46" s="23">
        <v>1211</v>
      </c>
      <c r="U46" s="23">
        <v>715.32866794394647</v>
      </c>
      <c r="V46" s="23">
        <v>1074</v>
      </c>
      <c r="W46" s="23">
        <v>1188.0124632138675</v>
      </c>
      <c r="X46" s="23">
        <f t="shared" ref="X46:AP46" si="37">X48</f>
        <v>1135.4340123571928</v>
      </c>
      <c r="Y46" s="23">
        <f t="shared" si="37"/>
        <v>604.51495743320493</v>
      </c>
      <c r="Z46" s="23">
        <f t="shared" si="37"/>
        <v>1002.3766853551615</v>
      </c>
      <c r="AA46" s="23">
        <f t="shared" si="37"/>
        <v>1120.5979260393226</v>
      </c>
      <c r="AB46" s="23">
        <f t="shared" si="37"/>
        <v>1186.0360253896108</v>
      </c>
      <c r="AC46" s="23">
        <f t="shared" si="37"/>
        <v>931.62044726669956</v>
      </c>
      <c r="AD46" s="23">
        <f t="shared" si="37"/>
        <v>937.26247630600551</v>
      </c>
      <c r="AE46" s="23">
        <f t="shared" si="37"/>
        <v>1185.39815986183</v>
      </c>
      <c r="AF46" s="23">
        <f t="shared" si="37"/>
        <v>713.17974191683015</v>
      </c>
      <c r="AG46" s="23">
        <f t="shared" si="37"/>
        <v>343.09821429481127</v>
      </c>
      <c r="AH46" s="23">
        <f t="shared" si="37"/>
        <v>512.9721762170193</v>
      </c>
      <c r="AI46" s="23">
        <f t="shared" si="37"/>
        <v>1041.8325739005161</v>
      </c>
      <c r="AJ46" s="23">
        <f t="shared" si="37"/>
        <v>989.03271813771471</v>
      </c>
      <c r="AK46" s="23">
        <f t="shared" si="37"/>
        <v>520.66747253658468</v>
      </c>
      <c r="AL46" s="23">
        <f t="shared" si="37"/>
        <v>778.16852065162254</v>
      </c>
      <c r="AM46" s="23">
        <f t="shared" si="37"/>
        <v>1210.0593126671508</v>
      </c>
      <c r="AN46" s="23">
        <f t="shared" si="37"/>
        <v>930.07540105793123</v>
      </c>
      <c r="AO46" s="23">
        <f t="shared" si="37"/>
        <v>1027.2936049546111</v>
      </c>
      <c r="AP46" s="23">
        <f t="shared" si="37"/>
        <v>929.45667144024651</v>
      </c>
      <c r="AQ46" s="23">
        <v>1176</v>
      </c>
      <c r="AR46" s="23">
        <f>+AR48</f>
        <v>1201.6747256588701</v>
      </c>
      <c r="AS46" s="23">
        <v>969.29690750710495</v>
      </c>
      <c r="AT46" s="23">
        <v>337.51918882592179</v>
      </c>
      <c r="AU46" s="23">
        <v>1197.2523524512408</v>
      </c>
      <c r="AV46" s="23">
        <f>AV48</f>
        <v>900</v>
      </c>
      <c r="AW46" s="23">
        <f>AW48</f>
        <v>771</v>
      </c>
    </row>
    <row r="47" spans="1:49" ht="6" customHeight="1">
      <c r="A47" s="1">
        <v>12</v>
      </c>
      <c r="E47" s="52"/>
      <c r="G47" s="56">
        <f t="shared" si="29"/>
        <v>12</v>
      </c>
      <c r="I47" s="32"/>
      <c r="J47" s="32"/>
      <c r="K47" s="32"/>
      <c r="L47" s="32"/>
      <c r="M47" s="32"/>
      <c r="N47" s="32"/>
      <c r="O47" s="32"/>
      <c r="P47" s="32"/>
    </row>
    <row r="48" spans="1:49">
      <c r="A48" s="1">
        <v>13</v>
      </c>
      <c r="B48" s="5" t="s">
        <v>135</v>
      </c>
      <c r="C48" s="24">
        <f t="shared" si="34"/>
        <v>969.29690750710495</v>
      </c>
      <c r="D48" s="24">
        <f t="shared" si="35"/>
        <v>771</v>
      </c>
      <c r="E48" s="47">
        <f t="shared" ref="E48" si="38">+D48/C48-1</f>
        <v>-0.20457808744804173</v>
      </c>
      <c r="G48" s="56">
        <f t="shared" si="29"/>
        <v>13</v>
      </c>
      <c r="H48" s="5" t="s">
        <v>135</v>
      </c>
      <c r="I48" s="33"/>
      <c r="J48" s="33"/>
      <c r="K48" s="33"/>
      <c r="L48" s="33"/>
      <c r="M48" s="33"/>
      <c r="N48" s="33"/>
      <c r="O48" s="33"/>
      <c r="P48" s="33"/>
      <c r="Q48" s="24">
        <v>663</v>
      </c>
      <c r="R48" s="24">
        <v>800</v>
      </c>
      <c r="S48" s="24">
        <v>906.60296019489226</v>
      </c>
      <c r="T48" s="24">
        <v>1211</v>
      </c>
      <c r="U48" s="24">
        <v>715.32866794394647</v>
      </c>
      <c r="V48" s="24">
        <v>1074</v>
      </c>
      <c r="W48" s="24">
        <v>1188.0124632138675</v>
      </c>
      <c r="X48" s="24">
        <v>1135.4340123571928</v>
      </c>
      <c r="Y48" s="24">
        <v>604.51495743320493</v>
      </c>
      <c r="Z48" s="24">
        <v>1002.3766853551615</v>
      </c>
      <c r="AA48" s="24">
        <v>1120.5979260393226</v>
      </c>
      <c r="AB48" s="24">
        <v>1186.0360253896108</v>
      </c>
      <c r="AC48" s="24">
        <v>931.62044726669956</v>
      </c>
      <c r="AD48" s="24">
        <v>937.26247630600551</v>
      </c>
      <c r="AE48" s="24">
        <v>1185.39815986183</v>
      </c>
      <c r="AF48" s="24">
        <v>713.17974191683015</v>
      </c>
      <c r="AG48" s="24">
        <v>343.09821429481127</v>
      </c>
      <c r="AH48" s="24">
        <v>512.9721762170193</v>
      </c>
      <c r="AI48" s="24">
        <v>1041.8325739005161</v>
      </c>
      <c r="AJ48" s="24">
        <v>989.03271813771471</v>
      </c>
      <c r="AK48" s="24">
        <v>520.66747253658468</v>
      </c>
      <c r="AL48" s="24">
        <v>778.16852065162254</v>
      </c>
      <c r="AM48" s="24">
        <v>1210.0593126671508</v>
      </c>
      <c r="AN48" s="24">
        <v>930.07540105793123</v>
      </c>
      <c r="AO48" s="24">
        <v>1027.2936049546111</v>
      </c>
      <c r="AP48" s="24">
        <v>929.45667144024651</v>
      </c>
      <c r="AQ48" s="24">
        <v>1176</v>
      </c>
      <c r="AR48" s="24">
        <v>1201.6747256588701</v>
      </c>
      <c r="AS48" s="24">
        <v>969.29690750710495</v>
      </c>
      <c r="AT48" s="24">
        <v>337.51918882592179</v>
      </c>
      <c r="AU48" s="24">
        <v>1197.2523524512408</v>
      </c>
      <c r="AV48" s="24">
        <v>900</v>
      </c>
      <c r="AW48" s="24">
        <v>771</v>
      </c>
    </row>
    <row r="49" spans="1:49">
      <c r="A49" s="1">
        <v>14</v>
      </c>
      <c r="B49" s="5" t="s">
        <v>131</v>
      </c>
      <c r="C49" s="60">
        <f t="shared" si="34"/>
        <v>5</v>
      </c>
      <c r="D49" s="60">
        <f t="shared" si="35"/>
        <v>66</v>
      </c>
      <c r="E49" s="116" t="s">
        <v>132</v>
      </c>
      <c r="G49" s="56">
        <f t="shared" si="29"/>
        <v>14</v>
      </c>
      <c r="H49" s="5" t="s">
        <v>131</v>
      </c>
      <c r="I49" s="33"/>
      <c r="J49" s="33"/>
      <c r="K49" s="33"/>
      <c r="L49" s="33"/>
      <c r="M49" s="33"/>
      <c r="N49" s="33"/>
      <c r="O49" s="33"/>
      <c r="P49" s="33"/>
      <c r="Q49" s="24">
        <v>117.26579863620114</v>
      </c>
      <c r="R49" s="24">
        <v>146.8918117608051</v>
      </c>
      <c r="S49" s="24">
        <v>46.406399015580696</v>
      </c>
      <c r="T49" s="29">
        <v>0</v>
      </c>
      <c r="U49" s="24">
        <v>92.800363549785231</v>
      </c>
      <c r="V49" s="29">
        <v>0</v>
      </c>
      <c r="W49" s="29">
        <v>0</v>
      </c>
      <c r="X49" s="29">
        <v>0</v>
      </c>
      <c r="Y49" s="29">
        <v>209.5338502374496</v>
      </c>
      <c r="Z49" s="29">
        <v>0</v>
      </c>
      <c r="AA49" s="29">
        <v>0</v>
      </c>
      <c r="AB49" s="29">
        <v>0</v>
      </c>
      <c r="AC49" s="29">
        <v>33.27100362594868</v>
      </c>
      <c r="AD49" s="29">
        <v>67.834889965652422</v>
      </c>
      <c r="AE49" s="29">
        <v>0</v>
      </c>
      <c r="AF49" s="29">
        <v>130.70588047518626</v>
      </c>
      <c r="AG49" s="29">
        <v>185.6060478259773</v>
      </c>
      <c r="AH49" s="29">
        <v>127.77895410268108</v>
      </c>
      <c r="AI49" s="29">
        <v>0</v>
      </c>
      <c r="AJ49" s="29">
        <v>0</v>
      </c>
      <c r="AK49" s="29">
        <v>57.645095655213254</v>
      </c>
      <c r="AL49" s="29">
        <v>120.04272042266</v>
      </c>
      <c r="AM49" s="29">
        <v>0</v>
      </c>
      <c r="AN49" s="29">
        <v>0</v>
      </c>
      <c r="AO49" s="60">
        <v>0</v>
      </c>
      <c r="AP49" s="60">
        <v>44.494576904377624</v>
      </c>
      <c r="AQ49" s="60">
        <v>0</v>
      </c>
      <c r="AR49" s="60"/>
      <c r="AS49" s="60">
        <v>5</v>
      </c>
      <c r="AT49" s="60">
        <v>562.27625532073023</v>
      </c>
      <c r="AU49" s="60">
        <v>0</v>
      </c>
      <c r="AV49" s="60">
        <v>109</v>
      </c>
      <c r="AW49" s="60">
        <v>66</v>
      </c>
    </row>
    <row r="50" spans="1:49" ht="6" customHeight="1">
      <c r="A50" s="1">
        <v>15</v>
      </c>
      <c r="C50" s="25">
        <f t="shared" si="34"/>
        <v>0</v>
      </c>
      <c r="D50" s="25">
        <f t="shared" si="35"/>
        <v>0</v>
      </c>
      <c r="E50" s="52"/>
      <c r="G50" s="56">
        <f t="shared" si="29"/>
        <v>15</v>
      </c>
      <c r="I50" s="32"/>
      <c r="J50" s="32"/>
      <c r="K50" s="32"/>
      <c r="L50" s="32"/>
      <c r="M50" s="32"/>
      <c r="N50" s="32"/>
      <c r="O50" s="32"/>
      <c r="P50" s="32"/>
      <c r="Q50" s="25"/>
      <c r="R50" s="25"/>
      <c r="S50" s="25"/>
      <c r="T50" s="25"/>
      <c r="U50" s="25"/>
      <c r="V50" s="25"/>
      <c r="W50" s="25"/>
      <c r="X50" s="25"/>
      <c r="Y50" s="25"/>
      <c r="Z50" s="25"/>
      <c r="AA50" s="25"/>
      <c r="AB50" s="25">
        <v>0</v>
      </c>
      <c r="AC50" s="25"/>
      <c r="AD50" s="25"/>
      <c r="AE50" s="25"/>
      <c r="AF50" s="25"/>
      <c r="AG50" s="25"/>
      <c r="AH50" s="25"/>
      <c r="AI50" s="25"/>
      <c r="AJ50" s="25"/>
      <c r="AK50" s="25"/>
      <c r="AL50" s="25"/>
      <c r="AM50" s="25"/>
      <c r="AN50" s="25"/>
      <c r="AO50" s="25"/>
      <c r="AP50" s="25"/>
      <c r="AQ50" s="25"/>
      <c r="AR50" s="25"/>
      <c r="AS50" s="25"/>
      <c r="AT50" s="25"/>
      <c r="AU50" s="25"/>
      <c r="AV50" s="25"/>
      <c r="AW50" s="25"/>
    </row>
    <row r="51" spans="1:49">
      <c r="A51" s="1">
        <v>16</v>
      </c>
      <c r="B51" s="83" t="s">
        <v>133</v>
      </c>
      <c r="C51" s="26">
        <f t="shared" si="34"/>
        <v>77.474370579136405</v>
      </c>
      <c r="D51" s="26">
        <f t="shared" si="35"/>
        <v>173.05418446802031</v>
      </c>
      <c r="E51" s="117" t="s">
        <v>132</v>
      </c>
      <c r="G51" s="56">
        <f t="shared" si="29"/>
        <v>16</v>
      </c>
      <c r="H51" s="19" t="s">
        <v>133</v>
      </c>
      <c r="I51" s="34"/>
      <c r="J51" s="34"/>
      <c r="K51" s="34"/>
      <c r="L51" s="34"/>
      <c r="M51" s="34"/>
      <c r="N51" s="34"/>
      <c r="O51" s="34"/>
      <c r="P51" s="34"/>
      <c r="Q51" s="26">
        <v>-117.26579863620114</v>
      </c>
      <c r="R51" s="26">
        <v>-75.559230127807126</v>
      </c>
      <c r="S51" s="26">
        <v>224.21087214801599</v>
      </c>
      <c r="T51" s="26">
        <v>483.0232191752059</v>
      </c>
      <c r="U51" s="26">
        <v>25.880405082426279</v>
      </c>
      <c r="V51" s="26">
        <v>336</v>
      </c>
      <c r="W51" s="26">
        <v>354.58010644829352</v>
      </c>
      <c r="X51" s="26">
        <v>355.58010644829398</v>
      </c>
      <c r="Y51" s="26">
        <v>-153.70788200688983</v>
      </c>
      <c r="Z51" s="26">
        <f t="shared" ref="Z51:AP51" si="39">Z42-Z49</f>
        <v>173.63322159405053</v>
      </c>
      <c r="AA51" s="26">
        <f t="shared" si="39"/>
        <v>371.0847186405806</v>
      </c>
      <c r="AB51" s="26">
        <f t="shared" si="39"/>
        <v>442.96485769998151</v>
      </c>
      <c r="AC51" s="26">
        <f t="shared" si="39"/>
        <v>155.92275581512291</v>
      </c>
      <c r="AD51" s="26">
        <f t="shared" si="39"/>
        <v>208.98762901664603</v>
      </c>
      <c r="AE51" s="26">
        <f t="shared" si="39"/>
        <v>430.10112776056849</v>
      </c>
      <c r="AF51" s="26">
        <f t="shared" si="39"/>
        <v>-38.521099921727057</v>
      </c>
      <c r="AG51" s="26">
        <f t="shared" si="39"/>
        <v>-185.6060478259773</v>
      </c>
      <c r="AH51" s="26">
        <f t="shared" si="39"/>
        <v>86.260134478742984</v>
      </c>
      <c r="AI51" s="26">
        <f t="shared" si="39"/>
        <v>552.21832102011876</v>
      </c>
      <c r="AJ51" s="26">
        <f t="shared" si="39"/>
        <v>476.18994898937126</v>
      </c>
      <c r="AK51" s="26">
        <f t="shared" si="39"/>
        <v>-6.1080999002123804</v>
      </c>
      <c r="AL51" s="26">
        <f t="shared" si="39"/>
        <v>253.94782729357865</v>
      </c>
      <c r="AM51" s="26">
        <f t="shared" si="39"/>
        <v>676.72777739843013</v>
      </c>
      <c r="AN51" s="26">
        <f t="shared" si="39"/>
        <v>381.07772852116545</v>
      </c>
      <c r="AO51" s="26">
        <f t="shared" si="39"/>
        <v>384.91165337545465</v>
      </c>
      <c r="AP51" s="26">
        <f t="shared" si="39"/>
        <v>318.34058708855684</v>
      </c>
      <c r="AQ51" s="26">
        <f t="shared" ref="AQ51" si="40">AQ42-AQ49</f>
        <v>553</v>
      </c>
      <c r="AR51" s="26">
        <f>+AR42-AR49</f>
        <v>555.86137345134637</v>
      </c>
      <c r="AS51" s="26">
        <v>77.474370579136405</v>
      </c>
      <c r="AT51" s="26">
        <v>-523.64319950005074</v>
      </c>
      <c r="AU51" s="26">
        <v>355</v>
      </c>
      <c r="AV51" s="26">
        <v>39</v>
      </c>
      <c r="AW51" s="26">
        <v>173.05418446802031</v>
      </c>
    </row>
    <row r="53" spans="1:49">
      <c r="B53" s="1" t="s">
        <v>136</v>
      </c>
    </row>
    <row r="54" spans="1:49">
      <c r="B54" s="1" t="s">
        <v>137</v>
      </c>
    </row>
  </sheetData>
  <mergeCells count="88">
    <mergeCell ref="AV6:AV7"/>
    <mergeCell ref="AV36:AV37"/>
    <mergeCell ref="AS6:AS7"/>
    <mergeCell ref="AR6:AR7"/>
    <mergeCell ref="AR36:AR37"/>
    <mergeCell ref="AS36:AS37"/>
    <mergeCell ref="AU6:AU7"/>
    <mergeCell ref="AU36:AU37"/>
    <mergeCell ref="AT6:AT7"/>
    <mergeCell ref="AT36:AT37"/>
    <mergeCell ref="AQ36:AQ37"/>
    <mergeCell ref="AO6:AO7"/>
    <mergeCell ref="AO36:AO37"/>
    <mergeCell ref="AQ6:AQ7"/>
    <mergeCell ref="AP6:AP7"/>
    <mergeCell ref="AP36:AP37"/>
    <mergeCell ref="AA6:AA7"/>
    <mergeCell ref="AA36:AA37"/>
    <mergeCell ref="AB6:AB7"/>
    <mergeCell ref="AB36:AB37"/>
    <mergeCell ref="AE6:AE7"/>
    <mergeCell ref="AE36:AE37"/>
    <mergeCell ref="AD6:AD7"/>
    <mergeCell ref="AD36:AD37"/>
    <mergeCell ref="AC6:AC7"/>
    <mergeCell ref="AC36:AC37"/>
    <mergeCell ref="AJ6:AJ7"/>
    <mergeCell ref="AJ36:AJ37"/>
    <mergeCell ref="AF6:AF7"/>
    <mergeCell ref="AF36:AF37"/>
    <mergeCell ref="AL6:AL7"/>
    <mergeCell ref="AL36:AL37"/>
    <mergeCell ref="AK6:AK7"/>
    <mergeCell ref="AK36:AK37"/>
    <mergeCell ref="AI6:AI7"/>
    <mergeCell ref="AI36:AI37"/>
    <mergeCell ref="AH6:AH7"/>
    <mergeCell ref="AH36:AH37"/>
    <mergeCell ref="AG6:AG7"/>
    <mergeCell ref="AG36:AG37"/>
    <mergeCell ref="C36:C37"/>
    <mergeCell ref="D36:D37"/>
    <mergeCell ref="E36:E37"/>
    <mergeCell ref="I36:I37"/>
    <mergeCell ref="J36:J37"/>
    <mergeCell ref="C6:C7"/>
    <mergeCell ref="D6:D7"/>
    <mergeCell ref="E6:E7"/>
    <mergeCell ref="I6:I7"/>
    <mergeCell ref="J6:J7"/>
    <mergeCell ref="R36:R37"/>
    <mergeCell ref="S36:S37"/>
    <mergeCell ref="T36:T37"/>
    <mergeCell ref="Q6:Q7"/>
    <mergeCell ref="R6:R7"/>
    <mergeCell ref="S6:S7"/>
    <mergeCell ref="AM6:AM7"/>
    <mergeCell ref="AM36:AM37"/>
    <mergeCell ref="K36:K37"/>
    <mergeCell ref="K6:K7"/>
    <mergeCell ref="L36:L37"/>
    <mergeCell ref="M36:M37"/>
    <mergeCell ref="N36:N37"/>
    <mergeCell ref="O36:O37"/>
    <mergeCell ref="P36:P37"/>
    <mergeCell ref="T6:T7"/>
    <mergeCell ref="L6:L7"/>
    <mergeCell ref="M6:M7"/>
    <mergeCell ref="N6:N7"/>
    <mergeCell ref="O6:O7"/>
    <mergeCell ref="P6:P7"/>
    <mergeCell ref="Q36:Q37"/>
    <mergeCell ref="AW6:AW7"/>
    <mergeCell ref="AW36:AW37"/>
    <mergeCell ref="U36:U37"/>
    <mergeCell ref="AN6:AN7"/>
    <mergeCell ref="AN36:AN37"/>
    <mergeCell ref="U6:U7"/>
    <mergeCell ref="Y6:Y7"/>
    <mergeCell ref="Y36:Y37"/>
    <mergeCell ref="V36:V37"/>
    <mergeCell ref="V6:V7"/>
    <mergeCell ref="W6:W7"/>
    <mergeCell ref="X6:X7"/>
    <mergeCell ref="X36:X37"/>
    <mergeCell ref="W36:W37"/>
    <mergeCell ref="Z6:Z7"/>
    <mergeCell ref="Z36:Z37"/>
  </mergeCells>
  <phoneticPr fontId="14" type="noConversion"/>
  <pageMargins left="0.7" right="0.7" top="0.75" bottom="0.75" header="0.3" footer="0.3"/>
  <pageSetup orientation="portrait" r:id="rId1"/>
  <ignoredErrors>
    <ignoredError sqref="I24 J24:AG24 AK24 AH24:AJ24 AL24:AM24 AP24:AU24 AV9" formulaRange="1"/>
    <ignoredError sqref="AN24:AO24" formula="1"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9" tint="0.79998168889431442"/>
  </sheetPr>
  <dimension ref="A3:AM50"/>
  <sheetViews>
    <sheetView topLeftCell="B1" zoomScale="80" zoomScaleNormal="80" workbookViewId="0">
      <selection activeCell="AE50" sqref="AE50"/>
    </sheetView>
  </sheetViews>
  <sheetFormatPr defaultColWidth="11.453125" defaultRowHeight="13.5"/>
  <cols>
    <col min="1" max="1" width="0" style="1" hidden="1" customWidth="1"/>
    <col min="2" max="2" width="57.36328125" style="1" customWidth="1"/>
    <col min="3" max="6" width="11.453125" style="1"/>
    <col min="7" max="7" width="11.453125" style="56"/>
    <col min="8" max="8" width="57.36328125" style="1" customWidth="1"/>
    <col min="9" max="27" width="11.453125" style="1" customWidth="1"/>
    <col min="28" max="28" width="11.54296875" style="1" customWidth="1"/>
    <col min="29" max="29" width="11.453125" style="1" customWidth="1"/>
    <col min="30" max="30" width="11.36328125" style="1" customWidth="1"/>
    <col min="31" max="34" width="11.453125" style="1" customWidth="1"/>
    <col min="35" max="16384" width="11.453125" style="1"/>
  </cols>
  <sheetData>
    <row r="3" spans="1:39">
      <c r="X3" s="77"/>
    </row>
    <row r="4" spans="1:39" ht="23.5">
      <c r="B4" s="11" t="s">
        <v>138</v>
      </c>
      <c r="C4" s="12"/>
      <c r="D4" s="12"/>
      <c r="E4" s="12"/>
      <c r="H4" s="11" t="s">
        <v>138</v>
      </c>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row>
    <row r="5" spans="1:39" ht="8.25" customHeight="1"/>
    <row r="6" spans="1:39" ht="15.75" customHeight="1">
      <c r="A6" s="1">
        <v>1</v>
      </c>
      <c r="B6" s="3" t="s">
        <v>139</v>
      </c>
      <c r="C6" s="139" t="s">
        <v>73</v>
      </c>
      <c r="D6" s="139" t="s">
        <v>74</v>
      </c>
      <c r="E6" s="139" t="s">
        <v>75</v>
      </c>
      <c r="G6" s="56">
        <v>1</v>
      </c>
      <c r="H6" s="3" t="s">
        <v>139</v>
      </c>
      <c r="I6" s="139" t="s">
        <v>89</v>
      </c>
      <c r="J6" s="139" t="s">
        <v>90</v>
      </c>
      <c r="K6" s="139" t="s">
        <v>91</v>
      </c>
      <c r="L6" s="139" t="s">
        <v>92</v>
      </c>
      <c r="M6" s="139" t="s">
        <v>93</v>
      </c>
      <c r="N6" s="139" t="s">
        <v>94</v>
      </c>
      <c r="O6" s="139" t="s">
        <v>95</v>
      </c>
      <c r="P6" s="139" t="s">
        <v>96</v>
      </c>
      <c r="Q6" s="139" t="s">
        <v>97</v>
      </c>
      <c r="R6" s="139" t="s">
        <v>140</v>
      </c>
      <c r="S6" s="139" t="s">
        <v>99</v>
      </c>
      <c r="T6" s="139" t="s">
        <v>100</v>
      </c>
      <c r="U6" s="139" t="s">
        <v>101</v>
      </c>
      <c r="V6" s="139" t="s">
        <v>102</v>
      </c>
      <c r="W6" s="139" t="s">
        <v>103</v>
      </c>
      <c r="X6" s="139" t="s">
        <v>104</v>
      </c>
      <c r="Y6" s="139" t="s">
        <v>105</v>
      </c>
      <c r="Z6" s="139" t="s">
        <v>106</v>
      </c>
      <c r="AA6" s="139" t="s">
        <v>107</v>
      </c>
      <c r="AB6" s="139" t="s">
        <v>108</v>
      </c>
      <c r="AC6" s="139" t="s">
        <v>109</v>
      </c>
      <c r="AD6" s="139" t="s">
        <v>110</v>
      </c>
      <c r="AE6" s="139" t="s">
        <v>111</v>
      </c>
      <c r="AF6" s="139" t="s">
        <v>112</v>
      </c>
      <c r="AG6" s="139" t="s">
        <v>73</v>
      </c>
      <c r="AH6" s="139" t="s">
        <v>113</v>
      </c>
      <c r="AI6" s="139" t="s">
        <v>114</v>
      </c>
      <c r="AJ6" s="139" t="s">
        <v>115</v>
      </c>
      <c r="AK6" s="139" t="s">
        <v>74</v>
      </c>
    </row>
    <row r="7" spans="1:39">
      <c r="A7" s="1">
        <v>2</v>
      </c>
      <c r="B7" s="3" t="s">
        <v>141</v>
      </c>
      <c r="C7" s="139"/>
      <c r="D7" s="139"/>
      <c r="E7" s="139"/>
      <c r="G7" s="56">
        <f>G6+1</f>
        <v>2</v>
      </c>
      <c r="H7" s="3" t="s">
        <v>141</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row>
    <row r="8" spans="1:39" ht="6.75" customHeight="1">
      <c r="A8" s="1">
        <v>3</v>
      </c>
      <c r="G8" s="56">
        <f t="shared" ref="G8:G46" si="0">G7+1</f>
        <v>3</v>
      </c>
    </row>
    <row r="9" spans="1:39">
      <c r="A9" s="1">
        <v>4</v>
      </c>
      <c r="B9" s="2" t="s">
        <v>142</v>
      </c>
      <c r="C9" s="73">
        <f>HLOOKUP($C$6,$H$6:$BV$46,$G9,FALSE)</f>
        <v>554.58970457266503</v>
      </c>
      <c r="D9" s="73">
        <f>HLOOKUP($D$6,$H$6:$BV$46,$G9,FALSE)</f>
        <v>382.02302971600795</v>
      </c>
      <c r="E9" s="37">
        <f>D9/C9-1</f>
        <v>-0.31116097798755038</v>
      </c>
      <c r="G9" s="56">
        <f t="shared" si="0"/>
        <v>4</v>
      </c>
      <c r="H9" s="2" t="s">
        <v>142</v>
      </c>
      <c r="I9" s="9">
        <f t="shared" ref="I9:AA9" si="1">SUM(I10:I11)</f>
        <v>382.04352459</v>
      </c>
      <c r="J9" s="9">
        <f t="shared" si="1"/>
        <v>393.52543853000003</v>
      </c>
      <c r="K9" s="9">
        <f t="shared" si="1"/>
        <v>384.01442531999993</v>
      </c>
      <c r="L9" s="9">
        <f t="shared" si="1"/>
        <v>388.82864637</v>
      </c>
      <c r="M9" s="9">
        <f t="shared" si="1"/>
        <v>406.61819793000001</v>
      </c>
      <c r="N9" s="9">
        <f t="shared" si="1"/>
        <v>400.79995629000001</v>
      </c>
      <c r="O9" s="9">
        <f t="shared" si="1"/>
        <v>360.15103961</v>
      </c>
      <c r="P9" s="9">
        <f>+P10+P11</f>
        <v>385.69629868999999</v>
      </c>
      <c r="Q9" s="9">
        <f t="shared" si="1"/>
        <v>383.05666324999999</v>
      </c>
      <c r="R9" s="9">
        <f t="shared" si="1"/>
        <v>390.46938418000002</v>
      </c>
      <c r="S9" s="9">
        <f t="shared" si="1"/>
        <v>361.71204583999997</v>
      </c>
      <c r="T9" s="9">
        <f t="shared" si="1"/>
        <v>352.06973197216138</v>
      </c>
      <c r="U9" s="9">
        <f t="shared" si="1"/>
        <v>342.61029194000002</v>
      </c>
      <c r="V9" s="9">
        <f t="shared" si="1"/>
        <v>326.51433945999997</v>
      </c>
      <c r="W9" s="9">
        <f t="shared" si="1"/>
        <v>344.00239963000001</v>
      </c>
      <c r="X9" s="9">
        <f t="shared" si="1"/>
        <v>335.74076198907102</v>
      </c>
      <c r="Y9" s="9">
        <f t="shared" si="1"/>
        <v>335.58527098945598</v>
      </c>
      <c r="Z9" s="9">
        <f t="shared" si="1"/>
        <v>372.16881775544198</v>
      </c>
      <c r="AA9" s="9">
        <f t="shared" si="1"/>
        <v>357.07761227968302</v>
      </c>
      <c r="AB9" s="9">
        <f>SUM(AB10:AB11)</f>
        <v>374.91242898228433</v>
      </c>
      <c r="AC9" s="9">
        <f>SUM(AC10:AC11)</f>
        <v>416.83105583738285</v>
      </c>
      <c r="AD9" s="73">
        <f>SUM(AD10:AD11)</f>
        <v>513.95137935606238</v>
      </c>
      <c r="AE9" s="73">
        <v>488.1792009022243</v>
      </c>
      <c r="AF9" s="73">
        <f>+AF10+AF11</f>
        <v>555.05677058927199</v>
      </c>
      <c r="AG9" s="73">
        <v>554.58970457266503</v>
      </c>
      <c r="AH9" s="73">
        <v>546.00599498124291</v>
      </c>
      <c r="AI9" s="73">
        <v>493.77969459469466</v>
      </c>
      <c r="AJ9" s="73">
        <v>409.24974269240329</v>
      </c>
      <c r="AK9" s="73">
        <v>382.02302971600795</v>
      </c>
    </row>
    <row r="10" spans="1:39">
      <c r="A10" s="1">
        <v>5</v>
      </c>
      <c r="B10" s="4" t="s">
        <v>143</v>
      </c>
      <c r="C10" s="74">
        <f t="shared" ref="C10:C46" si="2">HLOOKUP($C$6,$H$6:$BV$46,$G10,FALSE)</f>
        <v>536.95393946000002</v>
      </c>
      <c r="D10" s="74">
        <f t="shared" ref="D10:D46" si="3">HLOOKUP($D$6,$H$6:$BV$46,$G10,FALSE)</f>
        <v>343.5</v>
      </c>
      <c r="E10" s="35">
        <f t="shared" ref="E10" si="4">+D10/C10-1</f>
        <v>-0.3602803243320114</v>
      </c>
      <c r="G10" s="56">
        <f t="shared" si="0"/>
        <v>5</v>
      </c>
      <c r="H10" s="4" t="s">
        <v>143</v>
      </c>
      <c r="I10" s="62">
        <v>375.70760791999999</v>
      </c>
      <c r="J10" s="62">
        <v>387.07254207000005</v>
      </c>
      <c r="K10" s="62">
        <v>377.56387881999996</v>
      </c>
      <c r="L10" s="62">
        <v>383.95966881999999</v>
      </c>
      <c r="M10" s="62">
        <v>399.36714494</v>
      </c>
      <c r="N10" s="62">
        <v>394.71491316000004</v>
      </c>
      <c r="O10" s="62">
        <f>360.15103961-O11</f>
        <v>353.20982264000003</v>
      </c>
      <c r="P10" s="62">
        <v>378.41628665000002</v>
      </c>
      <c r="Q10" s="62">
        <v>375.03835251999999</v>
      </c>
      <c r="R10" s="62">
        <v>381.06003191000002</v>
      </c>
      <c r="S10" s="62">
        <v>352.25140654999996</v>
      </c>
      <c r="T10" s="62">
        <v>340.84477436216139</v>
      </c>
      <c r="U10" s="62">
        <v>336.26742267000003</v>
      </c>
      <c r="V10" s="62">
        <v>318.16888381999996</v>
      </c>
      <c r="W10" s="62">
        <v>339.68414925000002</v>
      </c>
      <c r="X10" s="62">
        <v>329.10525194999997</v>
      </c>
      <c r="Y10" s="62">
        <v>327.88627881999986</v>
      </c>
      <c r="Z10" s="62">
        <v>362.26222753999991</v>
      </c>
      <c r="AA10" s="62">
        <v>338.07808542000032</v>
      </c>
      <c r="AB10" s="62">
        <v>368.41671285999996</v>
      </c>
      <c r="AC10" s="62">
        <v>404.13782836000001</v>
      </c>
      <c r="AD10" s="74">
        <v>503.74487557000009</v>
      </c>
      <c r="AE10" s="74">
        <v>476.91959276999989</v>
      </c>
      <c r="AF10" s="74">
        <v>548.08563891000051</v>
      </c>
      <c r="AG10" s="74">
        <v>536.95393946000002</v>
      </c>
      <c r="AH10" s="74">
        <v>530.27113609000014</v>
      </c>
      <c r="AI10" s="74">
        <v>469.46775133999995</v>
      </c>
      <c r="AJ10" s="74">
        <v>395.8</v>
      </c>
      <c r="AK10" s="74">
        <v>343.5</v>
      </c>
      <c r="AM10" s="50"/>
    </row>
    <row r="11" spans="1:39">
      <c r="A11" s="1">
        <v>6</v>
      </c>
      <c r="B11" s="5" t="s">
        <v>144</v>
      </c>
      <c r="C11" s="78">
        <f t="shared" si="2"/>
        <v>17.6357651126646</v>
      </c>
      <c r="D11" s="78">
        <f t="shared" si="3"/>
        <v>38.544385296007974</v>
      </c>
      <c r="E11" s="47" t="s">
        <v>132</v>
      </c>
      <c r="G11" s="56">
        <f t="shared" si="0"/>
        <v>6</v>
      </c>
      <c r="H11" s="5" t="s">
        <v>144</v>
      </c>
      <c r="I11" s="7">
        <v>6.3359166699999987</v>
      </c>
      <c r="J11" s="7">
        <v>6.4528964599999998</v>
      </c>
      <c r="K11" s="7">
        <v>6.4505465000000006</v>
      </c>
      <c r="L11" s="7">
        <v>4.8689775500000003</v>
      </c>
      <c r="M11" s="7">
        <v>7.2510529899999989</v>
      </c>
      <c r="N11" s="7">
        <v>6.0850431299999999</v>
      </c>
      <c r="O11" s="7">
        <v>6.9412169699999984</v>
      </c>
      <c r="P11" s="7">
        <v>7.2800120399999999</v>
      </c>
      <c r="Q11" s="7">
        <v>8.0183107299999996</v>
      </c>
      <c r="R11" s="7">
        <v>9.4093522699999994</v>
      </c>
      <c r="S11" s="7">
        <v>9.4606392900000014</v>
      </c>
      <c r="T11" s="7">
        <v>11.224957609999999</v>
      </c>
      <c r="U11" s="7">
        <v>6.3428692699999996</v>
      </c>
      <c r="V11" s="7">
        <v>8.3454556400000008</v>
      </c>
      <c r="W11" s="7">
        <v>4.3182503800000003</v>
      </c>
      <c r="X11" s="7">
        <v>6.635510039071038</v>
      </c>
      <c r="Y11" s="7">
        <v>7.698992169456119</v>
      </c>
      <c r="Z11" s="7">
        <v>9.9065902154420691</v>
      </c>
      <c r="AA11" s="7">
        <v>18.999526859682689</v>
      </c>
      <c r="AB11" s="7">
        <v>6.4957161222843425</v>
      </c>
      <c r="AC11" s="7">
        <v>12.693227477382838</v>
      </c>
      <c r="AD11" s="78">
        <v>10.206503786062314</v>
      </c>
      <c r="AE11" s="78">
        <v>11.259608132224447</v>
      </c>
      <c r="AF11" s="78">
        <v>6.971131679271501</v>
      </c>
      <c r="AG11" s="78">
        <v>17.6357651126646</v>
      </c>
      <c r="AH11" s="78">
        <v>15.734858891242805</v>
      </c>
      <c r="AI11" s="78">
        <v>24.311943254694487</v>
      </c>
      <c r="AJ11" s="78">
        <v>13.430127822403218</v>
      </c>
      <c r="AK11" s="78">
        <v>38.544385296007974</v>
      </c>
      <c r="AM11" s="52"/>
    </row>
    <row r="12" spans="1:39" ht="5.25" customHeight="1">
      <c r="A12" s="1">
        <v>7</v>
      </c>
      <c r="C12" s="75"/>
      <c r="D12" s="75"/>
      <c r="E12" s="38"/>
      <c r="G12" s="56">
        <f t="shared" si="0"/>
        <v>7</v>
      </c>
      <c r="AD12" s="75"/>
      <c r="AE12" s="75"/>
      <c r="AF12" s="75"/>
      <c r="AG12" s="75"/>
      <c r="AH12" s="75"/>
      <c r="AI12" s="75"/>
      <c r="AJ12" s="75"/>
      <c r="AK12" s="75"/>
    </row>
    <row r="13" spans="1:39">
      <c r="A13" s="1">
        <v>8</v>
      </c>
      <c r="B13" s="6" t="s">
        <v>145</v>
      </c>
      <c r="C13" s="73">
        <f t="shared" si="2"/>
        <v>-323.60366723210336</v>
      </c>
      <c r="D13" s="73">
        <f t="shared" si="3"/>
        <v>-196.42901586754701</v>
      </c>
      <c r="E13" s="37">
        <f>D13/C13-1</f>
        <v>-0.39299508702211605</v>
      </c>
      <c r="G13" s="56">
        <f t="shared" si="0"/>
        <v>8</v>
      </c>
      <c r="H13" s="6" t="s">
        <v>145</v>
      </c>
      <c r="I13" s="9">
        <f t="shared" ref="I13:AF13" si="5">SUM(I14:I19)</f>
        <v>-201.61834733999999</v>
      </c>
      <c r="J13" s="9">
        <f t="shared" si="5"/>
        <v>-209.72360940999999</v>
      </c>
      <c r="K13" s="9">
        <f t="shared" si="5"/>
        <v>-182.83798649000002</v>
      </c>
      <c r="L13" s="9">
        <f t="shared" si="5"/>
        <v>-161.49980806000002</v>
      </c>
      <c r="M13" s="9">
        <f t="shared" si="5"/>
        <v>-214.61205498000001</v>
      </c>
      <c r="N13" s="9">
        <f t="shared" si="5"/>
        <v>-218.94480712000001</v>
      </c>
      <c r="O13" s="9">
        <f t="shared" si="5"/>
        <v>-176.48669952</v>
      </c>
      <c r="P13" s="9">
        <f t="shared" si="5"/>
        <v>-145.51666410999999</v>
      </c>
      <c r="Q13" s="9">
        <f t="shared" si="5"/>
        <v>-197.76414062000003</v>
      </c>
      <c r="R13" s="9">
        <f t="shared" si="5"/>
        <v>-191.37367252999999</v>
      </c>
      <c r="S13" s="9">
        <f t="shared" si="5"/>
        <v>-160.20363063999997</v>
      </c>
      <c r="T13" s="9">
        <f t="shared" si="5"/>
        <v>-142.64274646084766</v>
      </c>
      <c r="U13" s="9">
        <f t="shared" si="5"/>
        <v>-144.02327721</v>
      </c>
      <c r="V13" s="9">
        <f t="shared" si="5"/>
        <v>-144.97976937000001</v>
      </c>
      <c r="W13" s="9">
        <f t="shared" si="5"/>
        <v>-141.80259100999999</v>
      </c>
      <c r="X13" s="9">
        <f t="shared" si="5"/>
        <v>-123.59622957000001</v>
      </c>
      <c r="Y13" s="9">
        <f t="shared" si="5"/>
        <v>-163.24753229999999</v>
      </c>
      <c r="Z13" s="9">
        <f t="shared" si="5"/>
        <v>-189.50218863124448</v>
      </c>
      <c r="AA13" s="9">
        <f t="shared" si="5"/>
        <v>-253.26415183148549</v>
      </c>
      <c r="AB13" s="9">
        <f t="shared" si="5"/>
        <v>-175.95883669</v>
      </c>
      <c r="AC13" s="9">
        <f t="shared" si="5"/>
        <v>-237.66753002999999</v>
      </c>
      <c r="AD13" s="73">
        <f t="shared" si="5"/>
        <v>-326.46387163163115</v>
      </c>
      <c r="AE13" s="73">
        <f t="shared" si="5"/>
        <v>-248.62596084999961</v>
      </c>
      <c r="AF13" s="73">
        <f t="shared" si="5"/>
        <v>-256.67572530163108</v>
      </c>
      <c r="AG13" s="73">
        <v>-323.60366723210336</v>
      </c>
      <c r="AH13" s="73">
        <v>-370.00231048850736</v>
      </c>
      <c r="AI13" s="73">
        <v>-228.49979299767796</v>
      </c>
      <c r="AJ13" s="73">
        <v>-208.03253989325097</v>
      </c>
      <c r="AK13" s="73">
        <v>-196.42901586754701</v>
      </c>
    </row>
    <row r="14" spans="1:39">
      <c r="A14" s="1">
        <v>9</v>
      </c>
      <c r="B14" s="5" t="s">
        <v>146</v>
      </c>
      <c r="C14" s="76">
        <f t="shared" si="2"/>
        <v>-38.440342030000004</v>
      </c>
      <c r="D14" s="76">
        <f t="shared" si="3"/>
        <v>-34.153910349999997</v>
      </c>
      <c r="E14" s="35">
        <f>+D14/C14-1</f>
        <v>-0.11150867691694177</v>
      </c>
      <c r="G14" s="56">
        <f t="shared" si="0"/>
        <v>9</v>
      </c>
      <c r="H14" s="5" t="s">
        <v>146</v>
      </c>
      <c r="I14" s="8">
        <v>-49.663123439999993</v>
      </c>
      <c r="J14" s="8">
        <v>-45.028858790000001</v>
      </c>
      <c r="K14" s="8">
        <v>-48.471841370000007</v>
      </c>
      <c r="L14" s="8">
        <v>-50.922849980000002</v>
      </c>
      <c r="M14" s="8">
        <v>-49.971196500000005</v>
      </c>
      <c r="N14" s="8">
        <v>-42.72805692</v>
      </c>
      <c r="O14" s="8">
        <v>-27.189153449999999</v>
      </c>
      <c r="P14" s="8">
        <v>-32.179547069999998</v>
      </c>
      <c r="Q14" s="8">
        <v>-32.977775399999999</v>
      </c>
      <c r="R14" s="8">
        <v>-34.296792169999996</v>
      </c>
      <c r="S14" s="8">
        <v>-31.990598459999998</v>
      </c>
      <c r="T14" s="8">
        <v>-20.88005158</v>
      </c>
      <c r="U14" s="8">
        <v>-21.550229389999998</v>
      </c>
      <c r="V14" s="8">
        <v>-26.609996129999999</v>
      </c>
      <c r="W14" s="8">
        <v>-26.503041410000002</v>
      </c>
      <c r="X14" s="8">
        <v>-38.097026920000005</v>
      </c>
      <c r="Y14" s="8">
        <v>-31.256106670000001</v>
      </c>
      <c r="Z14" s="8">
        <v>-29.581270990000004</v>
      </c>
      <c r="AA14" s="8">
        <v>-23.925166110000006</v>
      </c>
      <c r="AB14" s="8">
        <v>-30.191743499999983</v>
      </c>
      <c r="AC14" s="8">
        <v>-36.727656089999996</v>
      </c>
      <c r="AD14" s="76">
        <v>-36.782159120000003</v>
      </c>
      <c r="AE14" s="76">
        <v>-31.631071659999989</v>
      </c>
      <c r="AF14" s="76">
        <v>-34.650141210000029</v>
      </c>
      <c r="AG14" s="76">
        <v>-38.440342030000004</v>
      </c>
      <c r="AH14" s="76">
        <v>-41.919932799999991</v>
      </c>
      <c r="AI14" s="76">
        <v>-30.538348980000031</v>
      </c>
      <c r="AJ14" s="76">
        <v>-29.637286639999957</v>
      </c>
      <c r="AK14" s="76">
        <v>-34.153910349999997</v>
      </c>
    </row>
    <row r="15" spans="1:39">
      <c r="A15" s="1">
        <v>10</v>
      </c>
      <c r="B15" s="5" t="s">
        <v>147</v>
      </c>
      <c r="C15" s="76">
        <f t="shared" si="2"/>
        <v>-32.855387869999994</v>
      </c>
      <c r="D15" s="76">
        <f t="shared" si="3"/>
        <v>-10.784789839999998</v>
      </c>
      <c r="E15" s="36">
        <f t="shared" ref="E15:E19" si="6">+D15/C15-1</f>
        <v>-0.6717497330217943</v>
      </c>
      <c r="G15" s="56">
        <f t="shared" si="0"/>
        <v>10</v>
      </c>
      <c r="H15" s="5" t="s">
        <v>147</v>
      </c>
      <c r="I15" s="8">
        <v>-10.309236590000001</v>
      </c>
      <c r="J15" s="8">
        <v>-8.1412438000000016</v>
      </c>
      <c r="K15" s="8">
        <v>-12.31748</v>
      </c>
      <c r="L15" s="8">
        <v>-15.235790230000001</v>
      </c>
      <c r="M15" s="8">
        <v>-14.031543289999998</v>
      </c>
      <c r="N15" s="8">
        <v>-8.2634073800000003</v>
      </c>
      <c r="O15" s="8">
        <v>-12.96105287</v>
      </c>
      <c r="P15" s="8">
        <v>-10.257073849999999</v>
      </c>
      <c r="Q15" s="8">
        <v>-2.7598666500000002</v>
      </c>
      <c r="R15" s="8">
        <v>-13.185026169999999</v>
      </c>
      <c r="S15" s="8">
        <v>-30.11858333</v>
      </c>
      <c r="T15" s="8">
        <v>-18.777421969999999</v>
      </c>
      <c r="U15" s="8">
        <v>-15.50763813</v>
      </c>
      <c r="V15" s="8">
        <v>-7.0497441700000003</v>
      </c>
      <c r="W15" s="8">
        <v>-8.8661044199999992</v>
      </c>
      <c r="X15" s="8">
        <v>-22.674804890000001</v>
      </c>
      <c r="Y15" s="8">
        <v>-15.90505726</v>
      </c>
      <c r="Z15" s="8">
        <v>-13.359126759999995</v>
      </c>
      <c r="AA15" s="8">
        <v>-18.52931855000001</v>
      </c>
      <c r="AB15" s="8">
        <v>-22.854881370000005</v>
      </c>
      <c r="AC15" s="8">
        <v>-28.388396860000004</v>
      </c>
      <c r="AD15" s="76">
        <v>-40.373698689999998</v>
      </c>
      <c r="AE15" s="76">
        <v>-37.324889650000003</v>
      </c>
      <c r="AF15" s="76">
        <v>-37.634012129999988</v>
      </c>
      <c r="AG15" s="76">
        <v>-32.855387869999994</v>
      </c>
      <c r="AH15" s="76">
        <v>-72.982813530000016</v>
      </c>
      <c r="AI15" s="76">
        <v>-66.236618530000015</v>
      </c>
      <c r="AJ15" s="76">
        <v>-50.984763069999957</v>
      </c>
      <c r="AK15" s="76">
        <v>-10.784789839999998</v>
      </c>
    </row>
    <row r="16" spans="1:39">
      <c r="A16" s="1">
        <v>11</v>
      </c>
      <c r="B16" s="5" t="s">
        <v>148</v>
      </c>
      <c r="C16" s="76">
        <f t="shared" si="2"/>
        <v>-178.62920137</v>
      </c>
      <c r="D16" s="76">
        <f t="shared" si="3"/>
        <v>-94.007109159999999</v>
      </c>
      <c r="E16" s="36">
        <f t="shared" si="6"/>
        <v>-0.47373045146588177</v>
      </c>
      <c r="G16" s="56">
        <f t="shared" si="0"/>
        <v>11</v>
      </c>
      <c r="H16" s="5" t="s">
        <v>148</v>
      </c>
      <c r="I16" s="8">
        <v>-94.484040910000004</v>
      </c>
      <c r="J16" s="8">
        <v>-97.683044590000009</v>
      </c>
      <c r="K16" s="8">
        <v>-69.257545590000007</v>
      </c>
      <c r="L16" s="8">
        <v>-46.944186979999998</v>
      </c>
      <c r="M16" s="8">
        <v>-100.79955923</v>
      </c>
      <c r="N16" s="8">
        <v>-115.36363802999999</v>
      </c>
      <c r="O16" s="8">
        <v>-87.820830080000007</v>
      </c>
      <c r="P16" s="8">
        <v>-51.494247820000005</v>
      </c>
      <c r="Q16" s="8">
        <v>-107.34780074</v>
      </c>
      <c r="R16" s="8">
        <v>-95.379333989999992</v>
      </c>
      <c r="S16" s="8">
        <v>-70.417705769999998</v>
      </c>
      <c r="T16" s="8">
        <v>-64.138872550000002</v>
      </c>
      <c r="U16" s="8">
        <v>-68.507288939999995</v>
      </c>
      <c r="V16" s="8">
        <v>-69.673911410000002</v>
      </c>
      <c r="W16" s="8">
        <v>-75.506592269999999</v>
      </c>
      <c r="X16" s="8">
        <v>-31.725625049999998</v>
      </c>
      <c r="Y16" s="8">
        <v>-66.270926209999999</v>
      </c>
      <c r="Z16" s="8">
        <v>-94.117526049999995</v>
      </c>
      <c r="AA16" s="8">
        <v>-149.87379989999997</v>
      </c>
      <c r="AB16" s="8">
        <v>-84.117770259999901</v>
      </c>
      <c r="AC16" s="8">
        <v>-119.36580708000001</v>
      </c>
      <c r="AD16" s="76">
        <v>-150.17607264000003</v>
      </c>
      <c r="AE16" s="76">
        <v>-115.32812763999988</v>
      </c>
      <c r="AF16" s="76">
        <v>-135.2557122500001</v>
      </c>
      <c r="AG16" s="76">
        <v>-178.62920137</v>
      </c>
      <c r="AH16" s="76">
        <v>-163.91900953999996</v>
      </c>
      <c r="AI16" s="76">
        <v>-77.22432807000007</v>
      </c>
      <c r="AJ16" s="76">
        <v>-79.244384589999953</v>
      </c>
      <c r="AK16" s="76">
        <v>-94.007109159999999</v>
      </c>
    </row>
    <row r="17" spans="1:37">
      <c r="A17" s="1">
        <v>12</v>
      </c>
      <c r="B17" s="5" t="s">
        <v>149</v>
      </c>
      <c r="C17" s="76">
        <f t="shared" si="2"/>
        <v>-7.3668896100000003</v>
      </c>
      <c r="D17" s="76">
        <f t="shared" si="3"/>
        <v>-0.97015418999999992</v>
      </c>
      <c r="E17" s="36">
        <f t="shared" si="6"/>
        <v>-0.86830884656082152</v>
      </c>
      <c r="G17" s="56">
        <f t="shared" si="0"/>
        <v>12</v>
      </c>
      <c r="H17" s="5" t="s">
        <v>149</v>
      </c>
      <c r="I17" s="8">
        <v>-6.969882909999999</v>
      </c>
      <c r="J17" s="8">
        <v>-16.593912970000002</v>
      </c>
      <c r="K17" s="8">
        <v>-4.990396689999999</v>
      </c>
      <c r="L17" s="8">
        <v>-2.59113864</v>
      </c>
      <c r="M17" s="8">
        <v>-3.0085850299999999</v>
      </c>
      <c r="N17" s="8">
        <v>-4.8410693299999998</v>
      </c>
      <c r="O17" s="8">
        <v>-4.997354979999999</v>
      </c>
      <c r="P17" s="8">
        <v>-3.5823068500000002</v>
      </c>
      <c r="Q17" s="8">
        <v>-9.144735380000002</v>
      </c>
      <c r="R17" s="8">
        <v>-2.1464366200000002</v>
      </c>
      <c r="S17" s="8">
        <v>-0.41594635999999996</v>
      </c>
      <c r="T17" s="8">
        <v>-0.97457678084765598</v>
      </c>
      <c r="U17" s="8">
        <v>-4.2986809299999997</v>
      </c>
      <c r="V17" s="8">
        <v>-2.9431910800000001</v>
      </c>
      <c r="W17" s="8">
        <v>-0.41815340000000006</v>
      </c>
      <c r="X17" s="8">
        <v>-1.86275127</v>
      </c>
      <c r="Y17" s="8">
        <v>-16.706890779999998</v>
      </c>
      <c r="Z17" s="8">
        <v>-7.6236350399999973</v>
      </c>
      <c r="AA17" s="8">
        <v>-18.83520717</v>
      </c>
      <c r="AB17" s="8">
        <v>-6.1802511400000002</v>
      </c>
      <c r="AC17" s="8">
        <v>-7.0593287499999997</v>
      </c>
      <c r="AD17" s="76">
        <v>-50.793224300000006</v>
      </c>
      <c r="AE17" s="76">
        <v>-7.2131222800000003</v>
      </c>
      <c r="AF17" s="76">
        <v>-5.3518450999999914</v>
      </c>
      <c r="AG17" s="76">
        <v>-7.3668896100000003</v>
      </c>
      <c r="AH17" s="76">
        <v>-8.7086812399999971</v>
      </c>
      <c r="AI17" s="76">
        <v>-4.2798112499999981</v>
      </c>
      <c r="AJ17" s="76">
        <v>-1.171573740000003</v>
      </c>
      <c r="AK17" s="76">
        <v>-0.97015418999999992</v>
      </c>
    </row>
    <row r="18" spans="1:37">
      <c r="A18" s="1">
        <v>13</v>
      </c>
      <c r="B18" s="5" t="s">
        <v>150</v>
      </c>
      <c r="C18" s="76">
        <f t="shared" si="2"/>
        <v>-45.669600989999999</v>
      </c>
      <c r="D18" s="76">
        <f t="shared" si="3"/>
        <v>-33.493438950000005</v>
      </c>
      <c r="E18" s="36">
        <f t="shared" si="6"/>
        <v>-0.26661415418685475</v>
      </c>
      <c r="G18" s="56">
        <f t="shared" si="0"/>
        <v>13</v>
      </c>
      <c r="H18" s="5" t="s">
        <v>150</v>
      </c>
      <c r="I18" s="8">
        <v>-18.267814120000004</v>
      </c>
      <c r="J18" s="8">
        <v>-19.587985530000005</v>
      </c>
      <c r="K18" s="8">
        <v>-21.775002570000002</v>
      </c>
      <c r="L18" s="8">
        <v>-14.182322660000001</v>
      </c>
      <c r="M18" s="8">
        <v>-22.118387720000001</v>
      </c>
      <c r="N18" s="8">
        <v>-22.376940360000003</v>
      </c>
      <c r="O18" s="8">
        <v>-23.068639080000001</v>
      </c>
      <c r="P18" s="8">
        <v>-19.234630080000002</v>
      </c>
      <c r="Q18" s="8">
        <v>-25.951997500000001</v>
      </c>
      <c r="R18" s="8">
        <v>-25.329593030000002</v>
      </c>
      <c r="S18" s="8">
        <v>-7.9583244999999989</v>
      </c>
      <c r="T18" s="8">
        <v>-14.40621734</v>
      </c>
      <c r="U18" s="8">
        <v>-20.795866490000002</v>
      </c>
      <c r="V18" s="8">
        <v>-21.183902500000002</v>
      </c>
      <c r="W18" s="8">
        <v>-17.545652830000002</v>
      </c>
      <c r="X18" s="8">
        <v>-10.825311670000003</v>
      </c>
      <c r="Y18" s="8">
        <v>-21.106550949999999</v>
      </c>
      <c r="Z18" s="8">
        <v>-25.186136600000005</v>
      </c>
      <c r="AA18" s="8">
        <v>-26.626581519999998</v>
      </c>
      <c r="AB18" s="8">
        <v>-16.740971339999994</v>
      </c>
      <c r="AC18" s="8">
        <v>-31.017013939999998</v>
      </c>
      <c r="AD18" s="76">
        <v>-31.993431799999996</v>
      </c>
      <c r="AE18" s="76">
        <v>-41.567252299999993</v>
      </c>
      <c r="AF18" s="76">
        <v>-21.827071390000015</v>
      </c>
      <c r="AG18" s="76">
        <v>-45.669600989999999</v>
      </c>
      <c r="AH18" s="76">
        <v>-55.675935639999999</v>
      </c>
      <c r="AI18" s="76">
        <v>-22.305689220000012</v>
      </c>
      <c r="AJ18" s="76">
        <v>-19.688287360000004</v>
      </c>
      <c r="AK18" s="76">
        <v>-33.493438950000005</v>
      </c>
    </row>
    <row r="19" spans="1:37">
      <c r="A19" s="1">
        <v>14</v>
      </c>
      <c r="B19" s="5" t="s">
        <v>151</v>
      </c>
      <c r="C19" s="76">
        <f t="shared" si="2"/>
        <v>-20.642245362103388</v>
      </c>
      <c r="D19" s="76">
        <f t="shared" si="3"/>
        <v>-23.019613377547007</v>
      </c>
      <c r="E19" s="36">
        <f t="shared" si="6"/>
        <v>0.11517002989452751</v>
      </c>
      <c r="G19" s="56">
        <f t="shared" si="0"/>
        <v>14</v>
      </c>
      <c r="H19" s="5" t="s">
        <v>151</v>
      </c>
      <c r="I19" s="8">
        <v>-21.924249370000002</v>
      </c>
      <c r="J19" s="8">
        <v>-22.688563729999998</v>
      </c>
      <c r="K19" s="8">
        <v>-26.025720270000001</v>
      </c>
      <c r="L19" s="8">
        <v>-31.623519569999999</v>
      </c>
      <c r="M19" s="8">
        <v>-24.68278321</v>
      </c>
      <c r="N19" s="8">
        <v>-25.371695099999997</v>
      </c>
      <c r="O19" s="8">
        <v>-20.449669059999998</v>
      </c>
      <c r="P19" s="8">
        <v>-28.768858439999995</v>
      </c>
      <c r="Q19" s="8">
        <v>-19.58196495</v>
      </c>
      <c r="R19" s="8">
        <v>-21.036490550000003</v>
      </c>
      <c r="S19" s="8">
        <v>-19.302472219999999</v>
      </c>
      <c r="T19" s="8">
        <v>-23.46560624</v>
      </c>
      <c r="U19" s="8">
        <v>-13.363573330000001</v>
      </c>
      <c r="V19" s="8">
        <v>-17.519024080000001</v>
      </c>
      <c r="W19" s="8">
        <v>-12.96304668</v>
      </c>
      <c r="X19" s="8">
        <v>-18.41070977</v>
      </c>
      <c r="Y19" s="8">
        <v>-12.002000430000004</v>
      </c>
      <c r="Z19" s="8">
        <v>-19.634493191244463</v>
      </c>
      <c r="AA19" s="8">
        <v>-15.4740785814855</v>
      </c>
      <c r="AB19" s="8">
        <v>-15.873219080000139</v>
      </c>
      <c r="AC19" s="8">
        <v>-15.109327309999999</v>
      </c>
      <c r="AD19" s="76">
        <v>-16.34528508163109</v>
      </c>
      <c r="AE19" s="76">
        <v>-15.561497319999788</v>
      </c>
      <c r="AF19" s="76">
        <v>-21.956943221630951</v>
      </c>
      <c r="AG19" s="76">
        <v>-20.642245362103388</v>
      </c>
      <c r="AH19" s="76">
        <v>-27.235634568507471</v>
      </c>
      <c r="AI19" s="76">
        <v>-27.914996947677867</v>
      </c>
      <c r="AJ19" s="76">
        <v>-27.306244493251082</v>
      </c>
      <c r="AK19" s="76">
        <v>-23.019613377547007</v>
      </c>
    </row>
    <row r="20" spans="1:37" ht="5.25" customHeight="1">
      <c r="A20" s="1">
        <v>15</v>
      </c>
      <c r="E20" s="38"/>
      <c r="G20" s="56">
        <f t="shared" si="0"/>
        <v>15</v>
      </c>
    </row>
    <row r="21" spans="1:37">
      <c r="A21" s="1">
        <v>16</v>
      </c>
      <c r="B21" s="6" t="s">
        <v>152</v>
      </c>
      <c r="C21" s="9">
        <f t="shared" si="2"/>
        <v>230.98603734056167</v>
      </c>
      <c r="D21" s="9">
        <f t="shared" si="3"/>
        <v>185.59401384846095</v>
      </c>
      <c r="E21" s="37">
        <f>D21/C21-1</f>
        <v>-0.19651414438170367</v>
      </c>
      <c r="G21" s="56">
        <f t="shared" si="0"/>
        <v>16</v>
      </c>
      <c r="H21" s="6" t="s">
        <v>152</v>
      </c>
      <c r="I21" s="9">
        <f t="shared" ref="I21:AB21" si="7">I9+I13</f>
        <v>180.42517725000002</v>
      </c>
      <c r="J21" s="9">
        <f t="shared" si="7"/>
        <v>183.80182912000004</v>
      </c>
      <c r="K21" s="9">
        <f t="shared" si="7"/>
        <v>201.17643882999991</v>
      </c>
      <c r="L21" s="9">
        <f t="shared" si="7"/>
        <v>227.32883830999998</v>
      </c>
      <c r="M21" s="9">
        <f t="shared" si="7"/>
        <v>192.00614295</v>
      </c>
      <c r="N21" s="9">
        <f t="shared" si="7"/>
        <v>181.85514917</v>
      </c>
      <c r="O21" s="9">
        <f t="shared" si="7"/>
        <v>183.66434009</v>
      </c>
      <c r="P21" s="9">
        <f t="shared" si="7"/>
        <v>240.17963458</v>
      </c>
      <c r="Q21" s="9">
        <f t="shared" si="7"/>
        <v>185.29252262999995</v>
      </c>
      <c r="R21" s="9">
        <f t="shared" si="7"/>
        <v>199.09571165000003</v>
      </c>
      <c r="S21" s="9">
        <f t="shared" si="7"/>
        <v>201.5084152</v>
      </c>
      <c r="T21" s="9">
        <f t="shared" si="7"/>
        <v>209.42698551131372</v>
      </c>
      <c r="U21" s="9">
        <f t="shared" si="7"/>
        <v>198.58701473000002</v>
      </c>
      <c r="V21" s="9">
        <f t="shared" si="7"/>
        <v>181.53457008999996</v>
      </c>
      <c r="W21" s="9">
        <f t="shared" si="7"/>
        <v>202.19980862000003</v>
      </c>
      <c r="X21" s="9">
        <f t="shared" si="7"/>
        <v>212.14453241907103</v>
      </c>
      <c r="Y21" s="9">
        <f t="shared" si="7"/>
        <v>172.33773868945599</v>
      </c>
      <c r="Z21" s="9">
        <f t="shared" si="7"/>
        <v>182.6666291241975</v>
      </c>
      <c r="AA21" s="9">
        <f t="shared" si="7"/>
        <v>103.81346044819753</v>
      </c>
      <c r="AB21" s="9">
        <f t="shared" si="7"/>
        <v>198.95359229228433</v>
      </c>
      <c r="AC21" s="9">
        <f>AC9+AC13</f>
        <v>179.16352580738285</v>
      </c>
      <c r="AD21" s="9">
        <f t="shared" ref="AD21:AI21" si="8">AD9+AD13</f>
        <v>187.48750772443123</v>
      </c>
      <c r="AE21" s="9">
        <f t="shared" si="8"/>
        <v>239.55324005222468</v>
      </c>
      <c r="AF21" s="9">
        <f t="shared" si="8"/>
        <v>298.38104528764092</v>
      </c>
      <c r="AG21" s="9">
        <f t="shared" si="8"/>
        <v>230.98603734056167</v>
      </c>
      <c r="AH21" s="9">
        <f t="shared" si="8"/>
        <v>176.00368449273554</v>
      </c>
      <c r="AI21" s="9">
        <f t="shared" si="8"/>
        <v>265.2799015970167</v>
      </c>
      <c r="AJ21" s="9">
        <v>201.21720279915232</v>
      </c>
      <c r="AK21" s="9">
        <v>185.59401384846095</v>
      </c>
    </row>
    <row r="22" spans="1:37" ht="5.25" customHeight="1">
      <c r="A22" s="1">
        <v>17</v>
      </c>
      <c r="E22" s="38"/>
      <c r="G22" s="56">
        <f t="shared" si="0"/>
        <v>17</v>
      </c>
    </row>
    <row r="23" spans="1:37">
      <c r="A23" s="1">
        <v>18</v>
      </c>
      <c r="B23" s="5" t="s">
        <v>153</v>
      </c>
      <c r="C23" s="76">
        <f t="shared" si="2"/>
        <v>-22.214295176369102</v>
      </c>
      <c r="D23" s="76">
        <f t="shared" si="3"/>
        <v>-21.269593603994846</v>
      </c>
      <c r="E23" s="35">
        <f>+D23/C23-1</f>
        <v>-4.2526740770924887E-2</v>
      </c>
      <c r="G23" s="56">
        <f t="shared" si="0"/>
        <v>18</v>
      </c>
      <c r="H23" s="5" t="s">
        <v>153</v>
      </c>
      <c r="I23" s="8">
        <v>-17.04451195</v>
      </c>
      <c r="J23" s="8">
        <v>-17.660246110000003</v>
      </c>
      <c r="K23" s="8">
        <v>-19.13792746</v>
      </c>
      <c r="L23" s="8">
        <v>-22.942345899999999</v>
      </c>
      <c r="M23" s="8">
        <v>-20.83305013</v>
      </c>
      <c r="N23" s="8">
        <v>-19.99287172</v>
      </c>
      <c r="O23" s="8">
        <v>-19.41948554</v>
      </c>
      <c r="P23" s="8">
        <v>-19.52008206</v>
      </c>
      <c r="Q23" s="8">
        <v>-18.145634449999999</v>
      </c>
      <c r="R23" s="8">
        <v>-18.69958454</v>
      </c>
      <c r="S23" s="8">
        <v>-18.131862460000001</v>
      </c>
      <c r="T23" s="8">
        <v>-19.374417829999999</v>
      </c>
      <c r="U23" s="8">
        <v>-15.103110769999997</v>
      </c>
      <c r="V23" s="8">
        <v>-15.963176069999999</v>
      </c>
      <c r="W23" s="8">
        <v>-16.546217549999998</v>
      </c>
      <c r="X23" s="8">
        <v>-17.744413205142642</v>
      </c>
      <c r="Y23" s="8">
        <v>-21.26849432578625</v>
      </c>
      <c r="Z23" s="8">
        <v>-21.544319944213736</v>
      </c>
      <c r="AA23" s="8">
        <v>-19.299255428896753</v>
      </c>
      <c r="AB23" s="8">
        <v>-17.559487375259824</v>
      </c>
      <c r="AC23" s="8">
        <v>-20.241679390105503</v>
      </c>
      <c r="AD23" s="76">
        <v>-21.183490919894481</v>
      </c>
      <c r="AE23" s="76">
        <v>-20.735013258669198</v>
      </c>
      <c r="AF23" s="76">
        <v>-21.867187204425903</v>
      </c>
      <c r="AG23" s="76">
        <v>-22.214295176369102</v>
      </c>
      <c r="AH23" s="76">
        <v>-23.362683803273899</v>
      </c>
      <c r="AI23" s="76">
        <v>-23.810750728135329</v>
      </c>
      <c r="AJ23" s="76">
        <v>-22.412236887902981</v>
      </c>
      <c r="AK23" s="76">
        <v>-21.269593603994846</v>
      </c>
    </row>
    <row r="24" spans="1:37">
      <c r="A24" s="1">
        <v>19</v>
      </c>
      <c r="B24" s="5" t="s">
        <v>154</v>
      </c>
      <c r="C24" s="76">
        <f t="shared" si="2"/>
        <v>-16.607401639999985</v>
      </c>
      <c r="D24" s="76">
        <f t="shared" si="3"/>
        <v>-16.862101925413924</v>
      </c>
      <c r="E24" s="35">
        <f>+D24/C24-1</f>
        <v>1.5336552396040037E-2</v>
      </c>
      <c r="G24" s="56">
        <f t="shared" si="0"/>
        <v>19</v>
      </c>
      <c r="H24" s="5" t="s">
        <v>154</v>
      </c>
      <c r="I24" s="8">
        <v>-8.5792266599999998</v>
      </c>
      <c r="J24" s="8">
        <v>-7.6647555899999995</v>
      </c>
      <c r="K24" s="8">
        <v>-8.0141252200000004</v>
      </c>
      <c r="L24" s="8">
        <v>0.44080515999999959</v>
      </c>
      <c r="M24" s="8">
        <v>-7.5951097599999997</v>
      </c>
      <c r="N24" s="8">
        <v>-7.8615174199999984</v>
      </c>
      <c r="O24" s="8">
        <v>-7.9049100199999991</v>
      </c>
      <c r="P24" s="8">
        <v>-10.4942574</v>
      </c>
      <c r="Q24" s="8">
        <v>-5.5704710899999998</v>
      </c>
      <c r="R24" s="8">
        <v>-6.6276518099999997</v>
      </c>
      <c r="S24" s="8">
        <v>-4.66054455</v>
      </c>
      <c r="T24" s="8">
        <v>-7.1157827199999995</v>
      </c>
      <c r="U24" s="8">
        <v>-11.136667629999998</v>
      </c>
      <c r="V24" s="8">
        <v>-10.306963700000001</v>
      </c>
      <c r="W24" s="8">
        <v>-10.667568380000002</v>
      </c>
      <c r="X24" s="8">
        <v>-14.458320406060349</v>
      </c>
      <c r="Y24" s="8">
        <v>-13.714933041244359</v>
      </c>
      <c r="Z24" s="8">
        <v>-14.381759890241124</v>
      </c>
      <c r="AA24" s="8">
        <v>-12.679123930000056</v>
      </c>
      <c r="AB24" s="8">
        <v>-17.126937789999957</v>
      </c>
      <c r="AC24" s="8">
        <v>-13.330457380000013</v>
      </c>
      <c r="AD24" s="76">
        <v>-13.441127820000059</v>
      </c>
      <c r="AE24" s="76">
        <v>-13.673123019999959</v>
      </c>
      <c r="AF24" s="76">
        <v>-16.762059948368872</v>
      </c>
      <c r="AG24" s="76">
        <v>-16.607401639999985</v>
      </c>
      <c r="AH24" s="76">
        <v>-17.84276506774308</v>
      </c>
      <c r="AI24" s="76">
        <v>-15.310860021401922</v>
      </c>
      <c r="AJ24" s="76">
        <v>-17.964501218992371</v>
      </c>
      <c r="AK24" s="76">
        <v>-16.862101925413924</v>
      </c>
    </row>
    <row r="25" spans="1:37">
      <c r="A25" s="1">
        <v>20</v>
      </c>
      <c r="B25" s="5" t="s">
        <v>155</v>
      </c>
      <c r="C25" s="76">
        <f t="shared" si="2"/>
        <v>-50.573471804234366</v>
      </c>
      <c r="D25" s="76">
        <f t="shared" si="3"/>
        <v>-50.939496457200093</v>
      </c>
      <c r="E25" s="35">
        <f t="shared" ref="E25" si="9">+D25/C25-1</f>
        <v>7.237483208243578E-3</v>
      </c>
      <c r="G25" s="56">
        <f t="shared" si="0"/>
        <v>20</v>
      </c>
      <c r="H25" s="5" t="s">
        <v>155</v>
      </c>
      <c r="I25" s="8">
        <v>-59.572974270000003</v>
      </c>
      <c r="J25" s="8">
        <v>-60.371400770000001</v>
      </c>
      <c r="K25" s="8">
        <v>-59.531198900000007</v>
      </c>
      <c r="L25" s="8">
        <v>-44.012021590000003</v>
      </c>
      <c r="M25" s="8">
        <v>-58.61902585</v>
      </c>
      <c r="N25" s="8">
        <v>-58.823031590000006</v>
      </c>
      <c r="O25" s="8">
        <v>-59.493490899999998</v>
      </c>
      <c r="P25" s="8">
        <v>-60.019039800000002</v>
      </c>
      <c r="Q25" s="8">
        <v>-60.018540229999999</v>
      </c>
      <c r="R25" s="8">
        <v>-65.973431809999994</v>
      </c>
      <c r="S25" s="8">
        <v>-63.853536640000002</v>
      </c>
      <c r="T25" s="8">
        <v>-60.676873370000003</v>
      </c>
      <c r="U25" s="8">
        <v>-60.573092729999999</v>
      </c>
      <c r="V25" s="8">
        <v>-60.983484619999999</v>
      </c>
      <c r="W25" s="8">
        <v>-62.102695539999999</v>
      </c>
      <c r="X25" s="8">
        <v>-62.955401839999993</v>
      </c>
      <c r="Y25" s="8">
        <v>-55.426093312953405</v>
      </c>
      <c r="Z25" s="8">
        <v>-52.134216937046602</v>
      </c>
      <c r="AA25" s="8">
        <v>-52.951134153785105</v>
      </c>
      <c r="AB25" s="8">
        <v>-52.651230061246096</v>
      </c>
      <c r="AC25" s="8">
        <v>-52.821310546535116</v>
      </c>
      <c r="AD25" s="76">
        <v>-55.281998485673071</v>
      </c>
      <c r="AE25" s="76">
        <v>-54.018260034138393</v>
      </c>
      <c r="AF25" s="76">
        <v>-57.392497615271211</v>
      </c>
      <c r="AG25" s="76">
        <v>-50.573471804234366</v>
      </c>
      <c r="AH25" s="76">
        <v>-50.337763983271351</v>
      </c>
      <c r="AI25" s="76">
        <v>-49.882055320398415</v>
      </c>
      <c r="AJ25" s="76">
        <v>-55.087872643454496</v>
      </c>
      <c r="AK25" s="76">
        <v>-50.939496457200093</v>
      </c>
    </row>
    <row r="26" spans="1:37" ht="5.25" customHeight="1">
      <c r="A26" s="1">
        <v>21</v>
      </c>
      <c r="E26" s="38"/>
      <c r="G26" s="56">
        <f t="shared" si="0"/>
        <v>21</v>
      </c>
    </row>
    <row r="27" spans="1:37">
      <c r="A27" s="1">
        <v>22</v>
      </c>
      <c r="B27" s="6" t="s">
        <v>156</v>
      </c>
      <c r="C27" s="9">
        <f t="shared" si="2"/>
        <v>141.59086871995822</v>
      </c>
      <c r="D27" s="9">
        <f t="shared" si="3"/>
        <v>96.52282186185208</v>
      </c>
      <c r="E27" s="37">
        <f>D27/C27-1</f>
        <v>-0.31829769296240984</v>
      </c>
      <c r="G27" s="56">
        <f t="shared" si="0"/>
        <v>22</v>
      </c>
      <c r="H27" s="6" t="s">
        <v>156</v>
      </c>
      <c r="I27" s="9">
        <f t="shared" ref="I27:AB27" si="10">I25+I24+I23+I21</f>
        <v>95.228464370000012</v>
      </c>
      <c r="J27" s="9">
        <f t="shared" si="10"/>
        <v>98.105426650000027</v>
      </c>
      <c r="K27" s="9">
        <f t="shared" si="10"/>
        <v>114.49318724999991</v>
      </c>
      <c r="L27" s="9">
        <f t="shared" si="10"/>
        <v>160.81527597999997</v>
      </c>
      <c r="M27" s="9">
        <f t="shared" si="10"/>
        <v>104.95895720999999</v>
      </c>
      <c r="N27" s="9">
        <f t="shared" si="10"/>
        <v>95.177728439999996</v>
      </c>
      <c r="O27" s="9">
        <f t="shared" si="10"/>
        <v>96.846453629999999</v>
      </c>
      <c r="P27" s="9">
        <f t="shared" si="10"/>
        <v>150.14625531999999</v>
      </c>
      <c r="Q27" s="9">
        <f t="shared" si="10"/>
        <v>101.55787685999995</v>
      </c>
      <c r="R27" s="9">
        <f t="shared" si="10"/>
        <v>107.79504349000003</v>
      </c>
      <c r="S27" s="9">
        <f t="shared" si="10"/>
        <v>114.86247155000001</v>
      </c>
      <c r="T27" s="9">
        <f t="shared" si="10"/>
        <v>122.25991159131371</v>
      </c>
      <c r="U27" s="9">
        <f t="shared" si="10"/>
        <v>111.77414360000003</v>
      </c>
      <c r="V27" s="9">
        <f t="shared" si="10"/>
        <v>94.280945699999961</v>
      </c>
      <c r="W27" s="9">
        <f t="shared" si="10"/>
        <v>112.88332715000003</v>
      </c>
      <c r="X27" s="9">
        <f t="shared" si="10"/>
        <v>116.98639696786805</v>
      </c>
      <c r="Y27" s="9">
        <f>Y25+Y24+Y23+Y21</f>
        <v>81.928218009471976</v>
      </c>
      <c r="Z27" s="9">
        <f t="shared" si="10"/>
        <v>94.606332352696029</v>
      </c>
      <c r="AA27" s="9">
        <f t="shared" si="10"/>
        <v>18.88394693551561</v>
      </c>
      <c r="AB27" s="9">
        <f t="shared" si="10"/>
        <v>111.61593706577845</v>
      </c>
      <c r="AC27" s="9">
        <f>AC25+AC24+AC23+AC21</f>
        <v>92.770078490742222</v>
      </c>
      <c r="AD27" s="9">
        <f t="shared" ref="AD27:AI27" si="11">AD25+AD24+AD23+AD21</f>
        <v>97.58089049886361</v>
      </c>
      <c r="AE27" s="9">
        <f t="shared" si="11"/>
        <v>151.12684373941713</v>
      </c>
      <c r="AF27" s="9">
        <f t="shared" si="11"/>
        <v>202.35930051957493</v>
      </c>
      <c r="AG27" s="9">
        <f t="shared" si="11"/>
        <v>141.59086871995822</v>
      </c>
      <c r="AH27" s="9">
        <f t="shared" si="11"/>
        <v>84.460471638447217</v>
      </c>
      <c r="AI27" s="9">
        <f t="shared" si="11"/>
        <v>176.27623552708104</v>
      </c>
      <c r="AJ27" s="9">
        <v>105.7</v>
      </c>
      <c r="AK27" s="9">
        <v>96.52282186185208</v>
      </c>
    </row>
    <row r="28" spans="1:37" ht="5.25" customHeight="1">
      <c r="A28" s="1">
        <v>23</v>
      </c>
      <c r="C28" s="46">
        <f t="shared" si="2"/>
        <v>0</v>
      </c>
      <c r="D28" s="46">
        <f t="shared" si="3"/>
        <v>0</v>
      </c>
      <c r="E28" s="38"/>
      <c r="G28" s="56">
        <f t="shared" si="0"/>
        <v>23</v>
      </c>
      <c r="I28" s="46"/>
      <c r="K28" s="46"/>
      <c r="M28" s="46"/>
      <c r="O28" s="46"/>
      <c r="Q28" s="46"/>
      <c r="R28" s="46"/>
      <c r="S28" s="46"/>
      <c r="T28" s="46"/>
      <c r="U28" s="46"/>
      <c r="V28" s="46"/>
      <c r="W28" s="46"/>
      <c r="X28" s="46"/>
      <c r="Y28" s="46"/>
      <c r="Z28" s="46"/>
      <c r="AA28" s="46"/>
      <c r="AB28" s="46"/>
      <c r="AC28" s="46"/>
      <c r="AD28" s="46"/>
      <c r="AE28" s="46"/>
      <c r="AF28" s="46"/>
      <c r="AG28" s="46"/>
      <c r="AH28" s="46"/>
      <c r="AI28" s="46"/>
      <c r="AJ28" s="46"/>
      <c r="AK28" s="46"/>
    </row>
    <row r="29" spans="1:37">
      <c r="A29" s="1">
        <v>24</v>
      </c>
      <c r="B29" s="6" t="s">
        <v>157</v>
      </c>
      <c r="C29" s="9">
        <f t="shared" si="2"/>
        <v>192.16434052419214</v>
      </c>
      <c r="D29" s="9">
        <f t="shared" si="3"/>
        <v>147.46231831905217</v>
      </c>
      <c r="E29" s="37">
        <f>D29/C29-1</f>
        <v>-0.23262392014668454</v>
      </c>
      <c r="G29" s="56">
        <f t="shared" si="0"/>
        <v>24</v>
      </c>
      <c r="H29" s="6" t="s">
        <v>157</v>
      </c>
      <c r="I29" s="9">
        <f>+I21+I23+I24</f>
        <v>154.80143864000004</v>
      </c>
      <c r="J29" s="9">
        <f>+J21+J23+J24</f>
        <v>158.47682742000003</v>
      </c>
      <c r="K29" s="9">
        <f>+K21+K23+K24</f>
        <v>174.02438614999991</v>
      </c>
      <c r="L29" s="9">
        <f t="shared" ref="L29:X29" si="12">+L21+L23+L24</f>
        <v>204.82729756999998</v>
      </c>
      <c r="M29" s="9">
        <f t="shared" si="12"/>
        <v>163.57798306000001</v>
      </c>
      <c r="N29" s="9">
        <f t="shared" si="12"/>
        <v>154.00076002999998</v>
      </c>
      <c r="O29" s="9">
        <f t="shared" si="12"/>
        <v>156.33994453</v>
      </c>
      <c r="P29" s="9">
        <f t="shared" si="12"/>
        <v>210.16529512</v>
      </c>
      <c r="Q29" s="9">
        <f t="shared" si="12"/>
        <v>161.57641708999995</v>
      </c>
      <c r="R29" s="9">
        <f t="shared" si="12"/>
        <v>173.76847530000003</v>
      </c>
      <c r="S29" s="9">
        <f t="shared" si="12"/>
        <v>178.71600819</v>
      </c>
      <c r="T29" s="9">
        <f t="shared" si="12"/>
        <v>182.93678496131372</v>
      </c>
      <c r="U29" s="9">
        <f t="shared" si="12"/>
        <v>172.34723633000002</v>
      </c>
      <c r="V29" s="9">
        <f t="shared" si="12"/>
        <v>155.26443031999995</v>
      </c>
      <c r="W29" s="9">
        <f t="shared" si="12"/>
        <v>174.98602269000003</v>
      </c>
      <c r="X29" s="9">
        <f t="shared" si="12"/>
        <v>179.94179880786803</v>
      </c>
      <c r="Y29" s="9">
        <f>+Y21+Y23+Y24</f>
        <v>137.35431132242536</v>
      </c>
      <c r="Z29" s="9">
        <f>+'[1]EERR Cons.'!BO30-'[1]EERR Cons.'!BO28</f>
        <v>146.74054928974263</v>
      </c>
      <c r="AA29" s="9">
        <v>71.8350810880561</v>
      </c>
      <c r="AB29" s="9">
        <v>164.267167127025</v>
      </c>
      <c r="AC29" s="9">
        <f>+AC21+AC23+AC24</f>
        <v>145.59138903727734</v>
      </c>
      <c r="AD29" s="9">
        <f t="shared" ref="AD29:AF29" si="13">+AD21+AD23+AD24</f>
        <v>152.86288898453668</v>
      </c>
      <c r="AE29" s="9">
        <f t="shared" si="13"/>
        <v>205.14510377355552</v>
      </c>
      <c r="AF29" s="9">
        <f t="shared" si="13"/>
        <v>259.75179813484618</v>
      </c>
      <c r="AG29" s="9">
        <v>192.16434052419214</v>
      </c>
      <c r="AH29" s="9">
        <v>134.79823562171856</v>
      </c>
      <c r="AI29" s="9">
        <v>226.15829084747958</v>
      </c>
      <c r="AJ29" s="9">
        <v>160.78787264345451</v>
      </c>
      <c r="AK29" s="9">
        <v>147.46231831905217</v>
      </c>
    </row>
    <row r="30" spans="1:37" ht="5.25" customHeight="1">
      <c r="A30" s="1">
        <v>25</v>
      </c>
      <c r="E30" s="38"/>
      <c r="G30" s="56">
        <f t="shared" si="0"/>
        <v>25</v>
      </c>
    </row>
    <row r="31" spans="1:37">
      <c r="A31" s="1">
        <v>26</v>
      </c>
      <c r="B31" s="5" t="s">
        <v>158</v>
      </c>
      <c r="C31" s="76">
        <f t="shared" si="2"/>
        <v>15.365280552356621</v>
      </c>
      <c r="D31" s="76">
        <f t="shared" si="3"/>
        <v>15.29416582</v>
      </c>
      <c r="E31" s="35">
        <f t="shared" ref="E31:E46" si="14">+D31/C31-1</f>
        <v>-4.6282742520906694E-3</v>
      </c>
      <c r="F31" s="32"/>
      <c r="G31" s="56">
        <f t="shared" si="0"/>
        <v>26</v>
      </c>
      <c r="H31" s="5" t="s">
        <v>158</v>
      </c>
      <c r="I31" s="8">
        <v>2.5236214500000003</v>
      </c>
      <c r="J31" s="8">
        <v>2.7823693500000002</v>
      </c>
      <c r="K31" s="8">
        <v>3.1789319899999997</v>
      </c>
      <c r="L31" s="8">
        <v>4.2409520899999995</v>
      </c>
      <c r="M31" s="8">
        <v>4.85621904</v>
      </c>
      <c r="N31" s="8">
        <v>4.4943058100000002</v>
      </c>
      <c r="O31" s="8">
        <v>5.0033533800000001</v>
      </c>
      <c r="P31" s="8">
        <v>6.0128980599999995</v>
      </c>
      <c r="Q31" s="8">
        <v>6.3841863300000004</v>
      </c>
      <c r="R31" s="8">
        <v>4.8958357699999997</v>
      </c>
      <c r="S31" s="8">
        <v>4.9172992500000001</v>
      </c>
      <c r="T31" s="8">
        <v>5.9181313199999996</v>
      </c>
      <c r="U31" s="8">
        <v>5.0345027899999995</v>
      </c>
      <c r="V31" s="8">
        <v>2.9650799699999997</v>
      </c>
      <c r="W31" s="8">
        <v>1.7723986199999999</v>
      </c>
      <c r="X31" s="8">
        <v>1.4703000900000001</v>
      </c>
      <c r="Y31" s="8">
        <v>1.2911820900000002</v>
      </c>
      <c r="Z31" s="8">
        <v>1.1247754999999995</v>
      </c>
      <c r="AA31" s="8">
        <v>0.94209771000000098</v>
      </c>
      <c r="AB31" s="8">
        <v>1.6097711700000004</v>
      </c>
      <c r="AC31" s="8">
        <v>2.5259432800000003</v>
      </c>
      <c r="AD31" s="76">
        <v>4.2250459843980348</v>
      </c>
      <c r="AE31" s="76">
        <v>7.3874657411628988</v>
      </c>
      <c r="AF31" s="76">
        <v>14.91344703571135</v>
      </c>
      <c r="AG31" s="76">
        <v>15.365280552356621</v>
      </c>
      <c r="AH31" s="76">
        <v>16.451581692819204</v>
      </c>
      <c r="AI31" s="76">
        <v>17.627596034824165</v>
      </c>
      <c r="AJ31" s="76">
        <v>18.48180084000002</v>
      </c>
      <c r="AK31" s="76">
        <v>15.29416582</v>
      </c>
    </row>
    <row r="32" spans="1:37">
      <c r="A32" s="1">
        <v>27</v>
      </c>
      <c r="B32" s="5" t="s">
        <v>159</v>
      </c>
      <c r="C32" s="76">
        <f t="shared" si="2"/>
        <v>-23.11978156029533</v>
      </c>
      <c r="D32" s="76">
        <f t="shared" si="3"/>
        <v>-18.378650219894105</v>
      </c>
      <c r="E32" s="35">
        <f t="shared" si="14"/>
        <v>-0.20506817194775706</v>
      </c>
      <c r="F32" s="32"/>
      <c r="G32" s="56">
        <f t="shared" si="0"/>
        <v>27</v>
      </c>
      <c r="H32" s="5" t="s">
        <v>159</v>
      </c>
      <c r="I32" s="8">
        <v>-20.230824169999998</v>
      </c>
      <c r="J32" s="8">
        <v>-20.18796966</v>
      </c>
      <c r="K32" s="8">
        <v>-21.837985680000003</v>
      </c>
      <c r="L32" s="8">
        <v>-22.69717919</v>
      </c>
      <c r="M32" s="8">
        <v>-21.131099630000001</v>
      </c>
      <c r="N32" s="8">
        <v>-21.067198480000002</v>
      </c>
      <c r="O32" s="8">
        <v>-20.895725410000001</v>
      </c>
      <c r="P32" s="8">
        <v>-20.77659963</v>
      </c>
      <c r="Q32" s="8">
        <v>-20.671587080000002</v>
      </c>
      <c r="R32" s="8">
        <v>-24.948332670000003</v>
      </c>
      <c r="S32" s="8">
        <v>-22.90039531</v>
      </c>
      <c r="T32" s="8">
        <v>-22.548721329999999</v>
      </c>
      <c r="U32" s="8">
        <v>-22.52007699</v>
      </c>
      <c r="V32" s="8">
        <v>-22.69825814</v>
      </c>
      <c r="W32" s="8">
        <v>-22.93371934</v>
      </c>
      <c r="X32" s="8">
        <v>-22.307162131803203</v>
      </c>
      <c r="Y32" s="8">
        <v>-22.189419768481009</v>
      </c>
      <c r="Z32" s="8">
        <v>-21.403158571518993</v>
      </c>
      <c r="AA32" s="8">
        <v>-20.987745436041475</v>
      </c>
      <c r="AB32" s="8">
        <v>-21.766330402300618</v>
      </c>
      <c r="AC32" s="8">
        <v>-20.906411121174919</v>
      </c>
      <c r="AD32" s="76">
        <v>-20.635669950752792</v>
      </c>
      <c r="AE32" s="76">
        <v>-22.785253226507663</v>
      </c>
      <c r="AF32" s="76">
        <v>-24.395230660146005</v>
      </c>
      <c r="AG32" s="76">
        <v>-23.11978156029533</v>
      </c>
      <c r="AH32" s="76">
        <v>-22.06252987141508</v>
      </c>
      <c r="AI32" s="76">
        <v>-21.005091497896338</v>
      </c>
      <c r="AJ32" s="76">
        <v>-19.221141649354195</v>
      </c>
      <c r="AK32" s="76">
        <v>-18.378650219894105</v>
      </c>
    </row>
    <row r="33" spans="1:37">
      <c r="A33" s="1">
        <v>28</v>
      </c>
      <c r="B33" s="5" t="s">
        <v>160</v>
      </c>
      <c r="C33" s="76">
        <f t="shared" si="2"/>
        <v>0.95713189204547999</v>
      </c>
      <c r="D33" s="76">
        <f t="shared" si="3"/>
        <v>0.60277939670193192</v>
      </c>
      <c r="E33" s="35">
        <f t="shared" si="14"/>
        <v>-0.37022326629014923</v>
      </c>
      <c r="F33" s="32"/>
      <c r="G33" s="56">
        <f t="shared" si="0"/>
        <v>28</v>
      </c>
      <c r="H33" s="5" t="s">
        <v>160</v>
      </c>
      <c r="I33" s="8">
        <v>0.55841687000000062</v>
      </c>
      <c r="J33" s="8">
        <v>0.81643913000000035</v>
      </c>
      <c r="K33" s="8">
        <v>2.7404837300000033</v>
      </c>
      <c r="L33" s="8">
        <v>4.0539890799999991</v>
      </c>
      <c r="M33" s="8">
        <v>-1.1133358300000005</v>
      </c>
      <c r="N33" s="8">
        <v>-6.8534151000000021</v>
      </c>
      <c r="O33" s="8">
        <v>-1.6043168900000007</v>
      </c>
      <c r="P33" s="8">
        <v>-3.0702768400000044</v>
      </c>
      <c r="Q33" s="8">
        <v>1.2623363700000001</v>
      </c>
      <c r="R33" s="8">
        <v>0.85936775000000187</v>
      </c>
      <c r="S33" s="8">
        <v>-7.7517798999999989</v>
      </c>
      <c r="T33" s="8">
        <v>-1.5457248899999978</v>
      </c>
      <c r="U33" s="8">
        <v>-4.8135680699999979</v>
      </c>
      <c r="V33" s="8">
        <v>4.9067024800000008</v>
      </c>
      <c r="W33" s="8">
        <v>2.1286611099999933</v>
      </c>
      <c r="X33" s="8">
        <v>3.48765462486777</v>
      </c>
      <c r="Y33" s="8">
        <v>-2.8008947524970997</v>
      </c>
      <c r="Z33" s="8">
        <v>0.66380102249709749</v>
      </c>
      <c r="AA33" s="8">
        <v>-10.346410574453801</v>
      </c>
      <c r="AB33" s="8">
        <v>-1.342467725717956</v>
      </c>
      <c r="AC33" s="8">
        <v>1.4815612706860124</v>
      </c>
      <c r="AD33" s="76">
        <v>-10.969921269768113</v>
      </c>
      <c r="AE33" s="76">
        <v>-3.4658735660401963</v>
      </c>
      <c r="AF33" s="76">
        <v>10.286615351774458</v>
      </c>
      <c r="AG33" s="76">
        <v>0.95713189204547999</v>
      </c>
      <c r="AH33" s="76">
        <v>-3.10953099316851</v>
      </c>
      <c r="AI33" s="76">
        <v>-3.990900343067572</v>
      </c>
      <c r="AJ33" s="76">
        <v>-0.51105190962980673</v>
      </c>
      <c r="AK33" s="76">
        <v>0.60277939670193192</v>
      </c>
    </row>
    <row r="34" spans="1:37">
      <c r="A34" s="1">
        <v>29</v>
      </c>
      <c r="B34" s="5" t="s">
        <v>161</v>
      </c>
      <c r="C34" s="76">
        <f t="shared" si="2"/>
        <v>4.0273403800000001</v>
      </c>
      <c r="D34" s="76">
        <f t="shared" si="3"/>
        <v>3.0067959500000003</v>
      </c>
      <c r="E34" s="35">
        <f t="shared" si="14"/>
        <v>-0.25340406663118942</v>
      </c>
      <c r="F34" s="32"/>
      <c r="G34" s="56">
        <f t="shared" si="0"/>
        <v>29</v>
      </c>
      <c r="H34" s="5" t="s">
        <v>161</v>
      </c>
      <c r="I34" s="8">
        <v>0.73980449999999998</v>
      </c>
      <c r="J34" s="8">
        <v>1.1078972599999999</v>
      </c>
      <c r="K34" s="8">
        <v>1.2924579299999999</v>
      </c>
      <c r="L34" s="8">
        <v>-0.23659015999999999</v>
      </c>
      <c r="M34" s="8">
        <v>4.6503776200000004</v>
      </c>
      <c r="N34" s="8">
        <v>2.09918505</v>
      </c>
      <c r="O34" s="8">
        <v>2.82230545</v>
      </c>
      <c r="P34" s="8">
        <v>1.8170467399999999</v>
      </c>
      <c r="Q34" s="8">
        <v>2.3436588</v>
      </c>
      <c r="R34" s="8">
        <v>2.5646927799999997</v>
      </c>
      <c r="S34" s="8">
        <v>2.1804517300000001</v>
      </c>
      <c r="T34" s="8">
        <v>2.0129498799999999</v>
      </c>
      <c r="U34" s="8">
        <v>2.3433842899999999</v>
      </c>
      <c r="V34" s="8">
        <v>2.14213787</v>
      </c>
      <c r="W34" s="8">
        <v>2.18435165</v>
      </c>
      <c r="X34" s="8">
        <v>3.2800220100000002</v>
      </c>
      <c r="Y34" s="8">
        <v>1.37134892</v>
      </c>
      <c r="Z34" s="8">
        <v>1.9524835000000005</v>
      </c>
      <c r="AA34" s="8">
        <v>2.0504456300000009</v>
      </c>
      <c r="AB34" s="8">
        <v>1.3235566899999993</v>
      </c>
      <c r="AC34" s="8">
        <v>2.6146828799999997</v>
      </c>
      <c r="AD34" s="76">
        <v>2.6078981699999999</v>
      </c>
      <c r="AE34" s="76">
        <v>3.1942974499999992</v>
      </c>
      <c r="AF34" s="76">
        <v>3.7476725300000004</v>
      </c>
      <c r="AG34" s="76">
        <v>4.0273403800000001</v>
      </c>
      <c r="AH34" s="76">
        <v>3.3727477199999996</v>
      </c>
      <c r="AI34" s="76">
        <v>2.8216744500000015</v>
      </c>
      <c r="AJ34" s="76">
        <v>2.9199357299999988</v>
      </c>
      <c r="AK34" s="76">
        <v>3.0067959500000003</v>
      </c>
    </row>
    <row r="35" spans="1:37">
      <c r="A35" s="1">
        <v>30</v>
      </c>
      <c r="B35" s="5" t="s">
        <v>162</v>
      </c>
      <c r="C35" s="76">
        <f t="shared" si="2"/>
        <v>-16.516771290284481</v>
      </c>
      <c r="D35" s="76">
        <f t="shared" si="3"/>
        <v>-17.130353635640486</v>
      </c>
      <c r="E35" s="35">
        <f t="shared" si="14"/>
        <v>3.7149048961943709E-2</v>
      </c>
      <c r="F35" s="32"/>
      <c r="G35" s="56">
        <f t="shared" si="0"/>
        <v>30</v>
      </c>
      <c r="H35" s="5" t="s">
        <v>162</v>
      </c>
      <c r="I35" s="8">
        <v>-4.6026092199999997</v>
      </c>
      <c r="J35" s="8">
        <v>14.586818990000001</v>
      </c>
      <c r="K35" s="8">
        <v>-4.4328011099999998</v>
      </c>
      <c r="L35" s="8">
        <v>-90.356327449999995</v>
      </c>
      <c r="M35" s="8">
        <v>-4.1748449599999997</v>
      </c>
      <c r="N35" s="8">
        <v>-9.675633610000002</v>
      </c>
      <c r="O35" s="8">
        <v>-5.4907606900000001</v>
      </c>
      <c r="P35" s="8">
        <v>-34.22733968</v>
      </c>
      <c r="Q35" s="8">
        <v>-4.5141263599999997</v>
      </c>
      <c r="R35" s="8">
        <v>-10.757166999999999</v>
      </c>
      <c r="S35" s="8">
        <v>-9.9799288900000001</v>
      </c>
      <c r="T35" s="8">
        <v>-84.094405260000002</v>
      </c>
      <c r="U35" s="8">
        <v>-29.421527419999997</v>
      </c>
      <c r="V35" s="8">
        <v>-9.4264486699999992</v>
      </c>
      <c r="W35" s="8">
        <v>-7.9983524999999993</v>
      </c>
      <c r="X35" s="8">
        <v>-193.31770803000001</v>
      </c>
      <c r="Y35" s="8">
        <v>-21.538120462046809</v>
      </c>
      <c r="Z35" s="8">
        <v>-22.663534266708815</v>
      </c>
      <c r="AA35" s="8">
        <v>812.75313754050126</v>
      </c>
      <c r="AB35" s="8">
        <v>-161.90484948137998</v>
      </c>
      <c r="AC35" s="8">
        <v>-16.216410865869985</v>
      </c>
      <c r="AD35" s="76">
        <v>-16.079428069851605</v>
      </c>
      <c r="AE35" s="76">
        <v>-18.482136920774703</v>
      </c>
      <c r="AF35" s="76">
        <v>-26.896185183285258</v>
      </c>
      <c r="AG35" s="76">
        <v>-16.516771290284481</v>
      </c>
      <c r="AH35" s="76">
        <v>94.003499069502809</v>
      </c>
      <c r="AI35" s="76">
        <v>4.081765187940178</v>
      </c>
      <c r="AJ35" s="76">
        <v>-30.108468364107267</v>
      </c>
      <c r="AK35" s="76">
        <v>-17.130353635640486</v>
      </c>
    </row>
    <row r="36" spans="1:37" ht="5.25" customHeight="1">
      <c r="A36" s="1">
        <v>31</v>
      </c>
      <c r="E36" s="38"/>
      <c r="G36" s="56">
        <f t="shared" si="0"/>
        <v>31</v>
      </c>
    </row>
    <row r="37" spans="1:37">
      <c r="A37" s="1">
        <v>32</v>
      </c>
      <c r="B37" s="6" t="s">
        <v>163</v>
      </c>
      <c r="C37" s="9">
        <f t="shared" si="2"/>
        <v>-19.286800026177708</v>
      </c>
      <c r="D37" s="9">
        <f t="shared" si="3"/>
        <v>-16.60526268883266</v>
      </c>
      <c r="E37" s="66">
        <f t="shared" si="14"/>
        <v>-0.13903484941542577</v>
      </c>
      <c r="F37" s="32"/>
      <c r="G37" s="56">
        <f t="shared" si="0"/>
        <v>32</v>
      </c>
      <c r="H37" s="6" t="s">
        <v>163</v>
      </c>
      <c r="I37" s="9">
        <f t="shared" ref="I37:AF37" si="15">SUM(I31:I35)</f>
        <v>-21.011590569999996</v>
      </c>
      <c r="J37" s="9">
        <f t="shared" si="15"/>
        <v>-0.89444493000000058</v>
      </c>
      <c r="K37" s="9">
        <f t="shared" si="15"/>
        <v>-19.058913140000001</v>
      </c>
      <c r="L37" s="9">
        <f t="shared" si="15"/>
        <v>-104.99515563</v>
      </c>
      <c r="M37" s="9">
        <f t="shared" si="15"/>
        <v>-16.91268376</v>
      </c>
      <c r="N37" s="9">
        <f t="shared" si="15"/>
        <v>-31.002756330000008</v>
      </c>
      <c r="O37" s="9">
        <f t="shared" si="15"/>
        <v>-20.165144160000001</v>
      </c>
      <c r="P37" s="9">
        <f t="shared" si="15"/>
        <v>-50.244271350000005</v>
      </c>
      <c r="Q37" s="9">
        <f t="shared" si="15"/>
        <v>-15.195531940000002</v>
      </c>
      <c r="R37" s="9">
        <f t="shared" si="15"/>
        <v>-27.385603370000002</v>
      </c>
      <c r="S37" s="9">
        <f t="shared" si="15"/>
        <v>-33.534353119999999</v>
      </c>
      <c r="T37" s="9">
        <f t="shared" si="15"/>
        <v>-100.25777028</v>
      </c>
      <c r="U37" s="9">
        <f t="shared" si="15"/>
        <v>-49.377285399999998</v>
      </c>
      <c r="V37" s="9">
        <f t="shared" si="15"/>
        <v>-22.110786490000002</v>
      </c>
      <c r="W37" s="9">
        <f t="shared" si="15"/>
        <v>-24.846660460000006</v>
      </c>
      <c r="X37" s="9">
        <f t="shared" si="15"/>
        <v>-207.38689343693545</v>
      </c>
      <c r="Y37" s="9">
        <f t="shared" si="15"/>
        <v>-43.865903973024921</v>
      </c>
      <c r="Z37" s="9">
        <f t="shared" si="15"/>
        <v>-40.325632815730714</v>
      </c>
      <c r="AA37" s="9">
        <f t="shared" si="15"/>
        <v>784.41152487000602</v>
      </c>
      <c r="AB37" s="9">
        <f t="shared" si="15"/>
        <v>-182.08031974939854</v>
      </c>
      <c r="AC37" s="9">
        <f t="shared" si="15"/>
        <v>-30.500634556358893</v>
      </c>
      <c r="AD37" s="9">
        <f t="shared" si="15"/>
        <v>-40.852075135974474</v>
      </c>
      <c r="AE37" s="9">
        <f t="shared" si="15"/>
        <v>-34.151500522159665</v>
      </c>
      <c r="AF37" s="9">
        <f t="shared" si="15"/>
        <v>-22.343680925945456</v>
      </c>
      <c r="AG37" s="9">
        <v>-19.286800026177708</v>
      </c>
      <c r="AH37" s="9">
        <v>88.65576761773842</v>
      </c>
      <c r="AI37" s="9">
        <v>-0.46495616983959565</v>
      </c>
      <c r="AJ37" s="9">
        <v>-28.43892535309125</v>
      </c>
      <c r="AK37" s="9">
        <v>-16.60526268883266</v>
      </c>
    </row>
    <row r="38" spans="1:37" ht="5.25" customHeight="1">
      <c r="A38" s="1">
        <v>33</v>
      </c>
      <c r="E38" s="70"/>
      <c r="G38" s="56">
        <f t="shared" si="0"/>
        <v>33</v>
      </c>
    </row>
    <row r="39" spans="1:37">
      <c r="A39" s="1">
        <v>34</v>
      </c>
      <c r="B39" s="6" t="s">
        <v>164</v>
      </c>
      <c r="C39" s="9">
        <f t="shared" si="2"/>
        <v>122.30406869378007</v>
      </c>
      <c r="D39" s="9">
        <f t="shared" si="3"/>
        <v>79.917559173019413</v>
      </c>
      <c r="E39" s="66">
        <f t="shared" si="14"/>
        <v>-0.34656663489165074</v>
      </c>
      <c r="F39" s="32"/>
      <c r="G39" s="56">
        <f t="shared" si="0"/>
        <v>34</v>
      </c>
      <c r="H39" s="6" t="s">
        <v>164</v>
      </c>
      <c r="I39" s="9">
        <f t="shared" ref="I39:AF39" si="16">I37+I27</f>
        <v>74.216873800000016</v>
      </c>
      <c r="J39" s="9">
        <f t="shared" si="16"/>
        <v>97.210981720000021</v>
      </c>
      <c r="K39" s="9">
        <f t="shared" si="16"/>
        <v>95.434274109999905</v>
      </c>
      <c r="L39" s="9">
        <f t="shared" si="16"/>
        <v>55.820120349999968</v>
      </c>
      <c r="M39" s="9">
        <f t="shared" si="16"/>
        <v>88.046273450000001</v>
      </c>
      <c r="N39" s="9">
        <f t="shared" si="16"/>
        <v>64.174972109999985</v>
      </c>
      <c r="O39" s="9">
        <f t="shared" si="16"/>
        <v>76.681309470000002</v>
      </c>
      <c r="P39" s="9">
        <f t="shared" si="16"/>
        <v>99.901983969999989</v>
      </c>
      <c r="Q39" s="9">
        <f t="shared" si="16"/>
        <v>86.362344919999941</v>
      </c>
      <c r="R39" s="9">
        <f t="shared" si="16"/>
        <v>80.409440120000028</v>
      </c>
      <c r="S39" s="9">
        <f t="shared" si="16"/>
        <v>81.328118430000018</v>
      </c>
      <c r="T39" s="9">
        <f t="shared" si="16"/>
        <v>22.002141311313707</v>
      </c>
      <c r="U39" s="9">
        <f t="shared" si="16"/>
        <v>62.396858200000032</v>
      </c>
      <c r="V39" s="9">
        <f t="shared" si="16"/>
        <v>72.170159209999952</v>
      </c>
      <c r="W39" s="9">
        <f t="shared" si="16"/>
        <v>88.036666690000018</v>
      </c>
      <c r="X39" s="9">
        <f t="shared" si="16"/>
        <v>-90.400496469067406</v>
      </c>
      <c r="Y39" s="9">
        <f t="shared" si="16"/>
        <v>38.062314036447056</v>
      </c>
      <c r="Z39" s="9">
        <f t="shared" si="16"/>
        <v>54.280699536965315</v>
      </c>
      <c r="AA39" s="9">
        <f t="shared" si="16"/>
        <v>803.29547180552163</v>
      </c>
      <c r="AB39" s="9">
        <f t="shared" si="16"/>
        <v>-70.464382683620087</v>
      </c>
      <c r="AC39" s="9">
        <f t="shared" si="16"/>
        <v>62.269443934383332</v>
      </c>
      <c r="AD39" s="9">
        <f t="shared" si="16"/>
        <v>56.728815362889137</v>
      </c>
      <c r="AE39" s="9">
        <f t="shared" si="16"/>
        <v>116.97534321725746</v>
      </c>
      <c r="AF39" s="9">
        <f t="shared" si="16"/>
        <v>180.01561959362948</v>
      </c>
      <c r="AG39" s="9">
        <v>122.30406869378007</v>
      </c>
      <c r="AH39" s="9">
        <v>173.11623925618562</v>
      </c>
      <c r="AI39" s="9">
        <v>175.81127935724157</v>
      </c>
      <c r="AJ39" s="9">
        <v>77.261074646908753</v>
      </c>
      <c r="AK39" s="9">
        <v>79.917559173019413</v>
      </c>
    </row>
    <row r="40" spans="1:37" ht="5.25" customHeight="1">
      <c r="A40" s="1">
        <v>35</v>
      </c>
      <c r="E40" s="70"/>
      <c r="G40" s="56">
        <f t="shared" si="0"/>
        <v>35</v>
      </c>
    </row>
    <row r="41" spans="1:37">
      <c r="A41" s="1">
        <v>36</v>
      </c>
      <c r="B41" s="5" t="s">
        <v>165</v>
      </c>
      <c r="C41" s="76">
        <f t="shared" si="2"/>
        <v>-30.363846805485231</v>
      </c>
      <c r="D41" s="76">
        <f t="shared" si="3"/>
        <v>-21.08849933620964</v>
      </c>
      <c r="E41" s="47">
        <f t="shared" si="14"/>
        <v>-0.30547339830472331</v>
      </c>
      <c r="F41" s="32"/>
      <c r="G41" s="56">
        <f t="shared" si="0"/>
        <v>36</v>
      </c>
      <c r="H41" s="5" t="s">
        <v>165</v>
      </c>
      <c r="I41" s="8">
        <v>-13.69505232</v>
      </c>
      <c r="J41" s="8">
        <v>-18.882848859999999</v>
      </c>
      <c r="K41" s="8">
        <v>-25.223481329999998</v>
      </c>
      <c r="L41" s="8">
        <v>23.721189170000002</v>
      </c>
      <c r="M41" s="8">
        <v>-23.63957486</v>
      </c>
      <c r="N41" s="8">
        <v>-19.410159239999999</v>
      </c>
      <c r="O41" s="8">
        <v>-22.801540859999999</v>
      </c>
      <c r="P41" s="8">
        <v>-32.56690244</v>
      </c>
      <c r="Q41" s="8">
        <v>-20.027774229999999</v>
      </c>
      <c r="R41" s="8">
        <v>-19.03428903</v>
      </c>
      <c r="S41" s="8">
        <v>-26.635552539999999</v>
      </c>
      <c r="T41" s="8">
        <v>-2.5187302100000011</v>
      </c>
      <c r="U41" s="8">
        <v>-21.937182589999999</v>
      </c>
      <c r="V41" s="8">
        <v>-22.502922009999999</v>
      </c>
      <c r="W41" s="8">
        <v>-25.82951456</v>
      </c>
      <c r="X41" s="8">
        <v>27.518141006061192</v>
      </c>
      <c r="Y41" s="8">
        <v>-79.278427563875454</v>
      </c>
      <c r="Z41" s="8">
        <v>-21.395758066124547</v>
      </c>
      <c r="AA41" s="8">
        <v>-202.3945264733305</v>
      </c>
      <c r="AB41" s="8">
        <v>18.076551095056629</v>
      </c>
      <c r="AC41" s="8">
        <v>-6.3894801624248103</v>
      </c>
      <c r="AD41" s="76">
        <v>-19.026564867421037</v>
      </c>
      <c r="AE41" s="76">
        <v>-36.315230687438586</v>
      </c>
      <c r="AF41" s="76">
        <v>-43.801853936794899</v>
      </c>
      <c r="AG41" s="76">
        <v>-30.363846805485231</v>
      </c>
      <c r="AH41" s="76">
        <v>-41.897685534137572</v>
      </c>
      <c r="AI41" s="76">
        <v>-51.413406697886153</v>
      </c>
      <c r="AJ41" s="76">
        <v>-21.02666435082407</v>
      </c>
      <c r="AK41" s="76">
        <v>-21.08849933620964</v>
      </c>
    </row>
    <row r="42" spans="1:37" ht="6.75" customHeight="1">
      <c r="A42" s="1">
        <v>37</v>
      </c>
      <c r="E42" s="70"/>
      <c r="G42" s="56">
        <f t="shared" si="0"/>
        <v>37</v>
      </c>
    </row>
    <row r="43" spans="1:37">
      <c r="A43" s="1">
        <v>38</v>
      </c>
      <c r="B43" s="3" t="s">
        <v>166</v>
      </c>
      <c r="C43" s="16">
        <f t="shared" si="2"/>
        <v>91.940221888294843</v>
      </c>
      <c r="D43" s="16">
        <f t="shared" si="3"/>
        <v>58.829059836809776</v>
      </c>
      <c r="E43" s="48">
        <f t="shared" si="14"/>
        <v>-0.36013793932011973</v>
      </c>
      <c r="F43" s="32"/>
      <c r="G43" s="56">
        <f t="shared" si="0"/>
        <v>38</v>
      </c>
      <c r="H43" s="3" t="s">
        <v>166</v>
      </c>
      <c r="I43" s="10">
        <f t="shared" ref="I43:AF43" si="17">I39+I41</f>
        <v>60.521821480000014</v>
      </c>
      <c r="J43" s="10">
        <f t="shared" si="17"/>
        <v>78.328132860000025</v>
      </c>
      <c r="K43" s="10">
        <f t="shared" si="17"/>
        <v>70.210792779999906</v>
      </c>
      <c r="L43" s="10">
        <f t="shared" si="17"/>
        <v>79.54130951999997</v>
      </c>
      <c r="M43" s="10">
        <f t="shared" si="17"/>
        <v>64.406698590000005</v>
      </c>
      <c r="N43" s="10">
        <f t="shared" si="17"/>
        <v>44.764812869999986</v>
      </c>
      <c r="O43" s="10">
        <f t="shared" si="17"/>
        <v>53.879768609999999</v>
      </c>
      <c r="P43" s="10">
        <f t="shared" si="17"/>
        <v>67.335081529999997</v>
      </c>
      <c r="Q43" s="10">
        <f t="shared" si="17"/>
        <v>66.334570689999936</v>
      </c>
      <c r="R43" s="10">
        <f t="shared" si="17"/>
        <v>61.375151090000031</v>
      </c>
      <c r="S43" s="10">
        <f t="shared" si="17"/>
        <v>54.692565890000019</v>
      </c>
      <c r="T43" s="10">
        <f t="shared" si="17"/>
        <v>19.483411101313706</v>
      </c>
      <c r="U43" s="10">
        <f t="shared" si="17"/>
        <v>40.459675610000033</v>
      </c>
      <c r="V43" s="10">
        <f t="shared" si="17"/>
        <v>49.667237199999953</v>
      </c>
      <c r="W43" s="10">
        <f t="shared" si="17"/>
        <v>62.207152130000019</v>
      </c>
      <c r="X43" s="16">
        <f>X39+X41</f>
        <v>-62.882355463006213</v>
      </c>
      <c r="Y43" s="16">
        <f t="shared" si="17"/>
        <v>-41.216113527428398</v>
      </c>
      <c r="Z43" s="16">
        <f t="shared" si="17"/>
        <v>32.884941470840772</v>
      </c>
      <c r="AA43" s="16">
        <f t="shared" si="17"/>
        <v>600.9009453321911</v>
      </c>
      <c r="AB43" s="16">
        <f t="shared" si="17"/>
        <v>-52.387831588563458</v>
      </c>
      <c r="AC43" s="16">
        <f t="shared" si="17"/>
        <v>55.879963771958522</v>
      </c>
      <c r="AD43" s="16">
        <f t="shared" si="17"/>
        <v>37.7022504954681</v>
      </c>
      <c r="AE43" s="16">
        <f t="shared" si="17"/>
        <v>80.660112529818875</v>
      </c>
      <c r="AF43" s="16">
        <f t="shared" si="17"/>
        <v>136.2137656568346</v>
      </c>
      <c r="AG43" s="16">
        <v>91.940221888294843</v>
      </c>
      <c r="AH43" s="16">
        <v>131.21855372204806</v>
      </c>
      <c r="AI43" s="16">
        <v>124.397872659355</v>
      </c>
      <c r="AJ43" s="16">
        <f>AJ39+AJ41</f>
        <v>56.234410296084683</v>
      </c>
      <c r="AK43" s="16">
        <v>58.829059836809776</v>
      </c>
    </row>
    <row r="44" spans="1:37" ht="5.25" customHeight="1">
      <c r="A44" s="1">
        <v>39</v>
      </c>
      <c r="E44" s="80"/>
      <c r="G44" s="56">
        <f t="shared" si="0"/>
        <v>39</v>
      </c>
    </row>
    <row r="45" spans="1:37">
      <c r="A45" s="1">
        <v>40</v>
      </c>
      <c r="B45" s="5" t="s">
        <v>167</v>
      </c>
      <c r="C45" s="76">
        <f t="shared" si="2"/>
        <v>87.862860418294744</v>
      </c>
      <c r="D45" s="76">
        <f t="shared" si="3"/>
        <v>58.636304096809823</v>
      </c>
      <c r="E45" s="47">
        <f t="shared" si="14"/>
        <v>-0.33263834323562935</v>
      </c>
      <c r="F45" s="32"/>
      <c r="G45" s="56">
        <f t="shared" si="0"/>
        <v>40</v>
      </c>
      <c r="H45" s="5" t="s">
        <v>167</v>
      </c>
      <c r="I45" s="8">
        <v>56.902500880000005</v>
      </c>
      <c r="J45" s="8">
        <v>67.315819309999995</v>
      </c>
      <c r="K45" s="8">
        <v>70.133168250000011</v>
      </c>
      <c r="L45" s="8">
        <v>76.633404929999998</v>
      </c>
      <c r="M45" s="8">
        <v>65.157573959999993</v>
      </c>
      <c r="N45" s="8">
        <v>46.496960739999999</v>
      </c>
      <c r="O45" s="8">
        <v>56.817234620000008</v>
      </c>
      <c r="P45" s="8">
        <v>71.850721269999994</v>
      </c>
      <c r="Q45" s="8">
        <v>64.403329459999995</v>
      </c>
      <c r="R45" s="8">
        <v>61.31662017</v>
      </c>
      <c r="S45" s="8">
        <v>59.087229970000003</v>
      </c>
      <c r="T45" s="8">
        <v>18.238692839152353</v>
      </c>
      <c r="U45" s="8">
        <v>43.699793619999994</v>
      </c>
      <c r="V45" s="8">
        <v>54.130137500000004</v>
      </c>
      <c r="W45" s="8">
        <v>64.605734240000004</v>
      </c>
      <c r="X45" s="8">
        <v>0.45741877699381206</v>
      </c>
      <c r="Y45" s="8">
        <v>-38.892376677428295</v>
      </c>
      <c r="Z45" s="8">
        <v>35.09246243742836</v>
      </c>
      <c r="AA45" s="8">
        <v>604.15234692999991</v>
      </c>
      <c r="AB45" s="8">
        <v>-55.052248128563633</v>
      </c>
      <c r="AC45" s="8">
        <v>47.626031201958433</v>
      </c>
      <c r="AD45" s="76">
        <v>38.84162958546812</v>
      </c>
      <c r="AE45" s="76">
        <v>80.567399019818879</v>
      </c>
      <c r="AF45" s="76">
        <v>128.93079988683485</v>
      </c>
      <c r="AG45" s="76">
        <v>87.862860418294744</v>
      </c>
      <c r="AH45" s="76">
        <v>133.9</v>
      </c>
      <c r="AI45" s="76">
        <v>117.71745612786282</v>
      </c>
      <c r="AJ45" s="76">
        <v>53.90798612488706</v>
      </c>
      <c r="AK45" s="76">
        <v>58.636304096809823</v>
      </c>
    </row>
    <row r="46" spans="1:37">
      <c r="A46" s="1">
        <v>41</v>
      </c>
      <c r="B46" s="5" t="s">
        <v>168</v>
      </c>
      <c r="C46" s="76">
        <f t="shared" si="2"/>
        <v>4.0773614700000005</v>
      </c>
      <c r="D46" s="76">
        <f t="shared" si="3"/>
        <v>0.19275573999999998</v>
      </c>
      <c r="E46" s="47">
        <f t="shared" si="14"/>
        <v>-0.95272537364709042</v>
      </c>
      <c r="F46" s="32"/>
      <c r="G46" s="56">
        <f t="shared" si="0"/>
        <v>41</v>
      </c>
      <c r="H46" s="5" t="s">
        <v>168</v>
      </c>
      <c r="I46" s="8">
        <v>3.6193206</v>
      </c>
      <c r="J46" s="8">
        <v>11.012313550000002</v>
      </c>
      <c r="K46" s="8">
        <v>7.7624529999999914E-2</v>
      </c>
      <c r="L46" s="8">
        <v>2.90790405</v>
      </c>
      <c r="M46" s="8">
        <v>-0.7505204999999997</v>
      </c>
      <c r="N46" s="8">
        <v>-1.7321478700000001</v>
      </c>
      <c r="O46" s="8">
        <v>-2.9374660100000001</v>
      </c>
      <c r="P46" s="8">
        <v>-4.5044716199999995</v>
      </c>
      <c r="Q46" s="8">
        <v>1.1312412300000148</v>
      </c>
      <c r="R46" s="8">
        <v>5.8530919999999986E-2</v>
      </c>
      <c r="S46" s="8">
        <v>-4.3946640800000001</v>
      </c>
      <c r="T46" s="8">
        <v>1.2447182600000002</v>
      </c>
      <c r="U46" s="8">
        <v>-3.2401180099999998</v>
      </c>
      <c r="V46" s="8">
        <v>-4.4629003100000002</v>
      </c>
      <c r="W46" s="8">
        <v>-2.39858211</v>
      </c>
      <c r="X46" s="8">
        <v>-63.323743620000002</v>
      </c>
      <c r="Y46" s="8">
        <v>-2.32373685</v>
      </c>
      <c r="Z46" s="8">
        <v>-2.2075209600000001</v>
      </c>
      <c r="AA46" s="8">
        <v>-3.2498031899999997</v>
      </c>
      <c r="AB46" s="8">
        <v>2.663956750000001</v>
      </c>
      <c r="AC46" s="8">
        <v>8.2599789799999996</v>
      </c>
      <c r="AD46" s="76">
        <v>-1.1350231899999992</v>
      </c>
      <c r="AE46" s="76">
        <v>9.2713509999999388E-2</v>
      </c>
      <c r="AF46" s="76">
        <v>7.2829657699999997</v>
      </c>
      <c r="AG46" s="76">
        <v>4.0773614700000005</v>
      </c>
      <c r="AH46" s="76">
        <v>-2.7175260300000006</v>
      </c>
      <c r="AI46" s="76">
        <v>6.65</v>
      </c>
      <c r="AJ46" s="76">
        <v>2.3070095899999998</v>
      </c>
      <c r="AK46" s="76">
        <v>0.19275573999999998</v>
      </c>
    </row>
    <row r="47" spans="1:37">
      <c r="C47" s="80"/>
      <c r="D47" s="80"/>
    </row>
    <row r="48" spans="1:37">
      <c r="I48" s="32"/>
      <c r="J48" s="32"/>
      <c r="K48" s="32"/>
      <c r="L48" s="32"/>
      <c r="M48" s="32"/>
      <c r="N48" s="32"/>
      <c r="O48" s="32"/>
      <c r="S48" s="32"/>
      <c r="T48" s="32"/>
      <c r="U48" s="32"/>
      <c r="V48" s="32"/>
      <c r="W48" s="32"/>
      <c r="X48" s="32"/>
      <c r="Y48" s="32"/>
      <c r="Z48" s="32"/>
      <c r="AA48" s="32"/>
      <c r="AB48" s="32"/>
      <c r="AC48" s="32"/>
    </row>
    <row r="49" spans="2:5" ht="76.5" customHeight="1">
      <c r="B49" s="140" t="s">
        <v>169</v>
      </c>
      <c r="C49" s="140"/>
      <c r="D49" s="140"/>
      <c r="E49" s="140"/>
    </row>
    <row r="50" spans="2:5" ht="207" customHeight="1">
      <c r="B50" s="140"/>
      <c r="C50" s="140"/>
      <c r="D50" s="140"/>
      <c r="E50" s="140"/>
    </row>
  </sheetData>
  <mergeCells count="34">
    <mergeCell ref="B50:E50"/>
    <mergeCell ref="I6:I7"/>
    <mergeCell ref="J6:J7"/>
    <mergeCell ref="C6:C7"/>
    <mergeCell ref="D6:D7"/>
    <mergeCell ref="E6:E7"/>
    <mergeCell ref="B49:E49"/>
    <mergeCell ref="AF6:AF7"/>
    <mergeCell ref="AE6:AE7"/>
    <mergeCell ref="AB6:AB7"/>
    <mergeCell ref="K6:K7"/>
    <mergeCell ref="L6:L7"/>
    <mergeCell ref="M6:M7"/>
    <mergeCell ref="O6:O7"/>
    <mergeCell ref="S6:S7"/>
    <mergeCell ref="R6:R7"/>
    <mergeCell ref="P6:P7"/>
    <mergeCell ref="Q6:Q7"/>
    <mergeCell ref="AK6:AK7"/>
    <mergeCell ref="AJ6:AJ7"/>
    <mergeCell ref="AI6:AI7"/>
    <mergeCell ref="AH6:AH7"/>
    <mergeCell ref="N6:N7"/>
    <mergeCell ref="Y6:Y7"/>
    <mergeCell ref="W6:W7"/>
    <mergeCell ref="V6:V7"/>
    <mergeCell ref="X6:X7"/>
    <mergeCell ref="T6:T7"/>
    <mergeCell ref="U6:U7"/>
    <mergeCell ref="AA6:AA7"/>
    <mergeCell ref="Z6:Z7"/>
    <mergeCell ref="AD6:AD7"/>
    <mergeCell ref="AC6:AC7"/>
    <mergeCell ref="AG6:AG7"/>
  </mergeCells>
  <phoneticPr fontId="14" type="noConversion"/>
  <pageMargins left="0.7" right="0.7" top="0.75" bottom="0.75" header="0.3" footer="0.3"/>
  <pageSetup orientation="portrait" r:id="rId1"/>
  <ignoredErrors>
    <ignoredError sqref="P9"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9" tint="0.79998168889431442"/>
  </sheetPr>
  <dimension ref="A2:AX73"/>
  <sheetViews>
    <sheetView tabSelected="1" topLeftCell="B1" zoomScale="77" zoomScaleNormal="77" zoomScaleSheetLayoutView="100" workbookViewId="0">
      <selection activeCell="F14" sqref="F14"/>
    </sheetView>
  </sheetViews>
  <sheetFormatPr defaultColWidth="11.453125" defaultRowHeight="13.5"/>
  <cols>
    <col min="1" max="1" width="11.453125" style="1" hidden="1" customWidth="1"/>
    <col min="2" max="2" width="38.54296875" style="1" customWidth="1"/>
    <col min="3" max="4" width="11.453125" style="1"/>
    <col min="5" max="5" width="11.6328125" style="1" customWidth="1"/>
    <col min="6" max="6" width="11.453125" style="1" customWidth="1"/>
    <col min="7" max="7" width="11.453125" style="56" customWidth="1"/>
    <col min="8" max="8" width="42.36328125" style="1" customWidth="1"/>
    <col min="9" max="46" width="11.453125" style="1" customWidth="1"/>
    <col min="47" max="16384" width="11.453125" style="1"/>
  </cols>
  <sheetData>
    <row r="2" spans="1:49">
      <c r="F2" s="82"/>
    </row>
    <row r="3" spans="1:49">
      <c r="F3" s="52"/>
    </row>
    <row r="5" spans="1:49" ht="23.5">
      <c r="B5" s="11" t="s">
        <v>170</v>
      </c>
      <c r="C5" s="12"/>
      <c r="D5" s="12"/>
      <c r="E5" s="12"/>
      <c r="H5" s="11" t="s">
        <v>170</v>
      </c>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row>
    <row r="7" spans="1:49">
      <c r="A7" s="1">
        <v>1</v>
      </c>
      <c r="B7" s="100" t="s">
        <v>171</v>
      </c>
      <c r="C7" s="141" t="s">
        <v>73</v>
      </c>
      <c r="D7" s="141" t="s">
        <v>74</v>
      </c>
      <c r="E7" s="141" t="s">
        <v>172</v>
      </c>
      <c r="G7" s="56">
        <v>1</v>
      </c>
      <c r="H7" s="100" t="s">
        <v>171</v>
      </c>
      <c r="I7" s="101" t="s">
        <v>77</v>
      </c>
      <c r="J7" s="101" t="s">
        <v>78</v>
      </c>
      <c r="K7" s="101" t="s">
        <v>79</v>
      </c>
      <c r="L7" s="101" t="s">
        <v>80</v>
      </c>
      <c r="M7" s="101" t="s">
        <v>81</v>
      </c>
      <c r="N7" s="101" t="s">
        <v>82</v>
      </c>
      <c r="O7" s="101" t="s">
        <v>83</v>
      </c>
      <c r="P7" s="101" t="s">
        <v>84</v>
      </c>
      <c r="Q7" s="101" t="s">
        <v>85</v>
      </c>
      <c r="R7" s="101" t="s">
        <v>86</v>
      </c>
      <c r="S7" s="101" t="s">
        <v>87</v>
      </c>
      <c r="T7" s="101" t="s">
        <v>88</v>
      </c>
      <c r="U7" s="141" t="s">
        <v>89</v>
      </c>
      <c r="V7" s="141" t="s">
        <v>90</v>
      </c>
      <c r="W7" s="141" t="s">
        <v>91</v>
      </c>
      <c r="X7" s="141" t="s">
        <v>92</v>
      </c>
      <c r="Y7" s="141" t="s">
        <v>93</v>
      </c>
      <c r="Z7" s="141" t="s">
        <v>94</v>
      </c>
      <c r="AA7" s="141" t="s">
        <v>95</v>
      </c>
      <c r="AB7" s="141" t="s">
        <v>96</v>
      </c>
      <c r="AC7" s="141" t="s">
        <v>97</v>
      </c>
      <c r="AD7" s="141" t="s">
        <v>98</v>
      </c>
      <c r="AE7" s="141" t="s">
        <v>99</v>
      </c>
      <c r="AF7" s="141" t="s">
        <v>100</v>
      </c>
      <c r="AG7" s="141" t="s">
        <v>101</v>
      </c>
      <c r="AH7" s="141" t="s">
        <v>102</v>
      </c>
      <c r="AI7" s="141" t="s">
        <v>103</v>
      </c>
      <c r="AJ7" s="141" t="s">
        <v>104</v>
      </c>
      <c r="AK7" s="141" t="s">
        <v>105</v>
      </c>
      <c r="AL7" s="141" t="s">
        <v>106</v>
      </c>
      <c r="AM7" s="141" t="s">
        <v>107</v>
      </c>
      <c r="AN7" s="141" t="s">
        <v>108</v>
      </c>
      <c r="AO7" s="141" t="s">
        <v>109</v>
      </c>
      <c r="AP7" s="141" t="s">
        <v>110</v>
      </c>
      <c r="AQ7" s="141" t="s">
        <v>111</v>
      </c>
      <c r="AR7" s="141" t="s">
        <v>112</v>
      </c>
      <c r="AS7" s="141" t="s">
        <v>73</v>
      </c>
      <c r="AT7" s="141" t="s">
        <v>113</v>
      </c>
      <c r="AU7" s="141" t="s">
        <v>114</v>
      </c>
      <c r="AV7" s="141" t="s">
        <v>115</v>
      </c>
      <c r="AW7" s="141" t="s">
        <v>74</v>
      </c>
    </row>
    <row r="8" spans="1:49">
      <c r="A8" s="1">
        <v>2</v>
      </c>
      <c r="B8" s="100" t="s">
        <v>141</v>
      </c>
      <c r="C8" s="141"/>
      <c r="D8" s="141"/>
      <c r="E8" s="141"/>
      <c r="G8" s="56">
        <f>G7+1</f>
        <v>2</v>
      </c>
      <c r="H8" s="100" t="s">
        <v>141</v>
      </c>
      <c r="I8" s="101"/>
      <c r="J8" s="101"/>
      <c r="K8" s="101"/>
      <c r="L8" s="101"/>
      <c r="M8" s="101"/>
      <c r="N8" s="101"/>
      <c r="O8" s="101"/>
      <c r="P8" s="101"/>
      <c r="Q8" s="101"/>
      <c r="R8" s="101"/>
      <c r="S8" s="101"/>
      <c r="T8" s="101"/>
      <c r="U8" s="141"/>
      <c r="V8" s="141"/>
      <c r="W8" s="141"/>
      <c r="X8" s="141"/>
      <c r="Y8" s="141"/>
      <c r="Z8" s="141"/>
      <c r="AA8" s="141"/>
      <c r="AB8" s="141"/>
      <c r="AC8" s="141"/>
      <c r="AD8" s="141"/>
      <c r="AE8" s="141"/>
      <c r="AF8" s="141"/>
      <c r="AG8" s="141"/>
      <c r="AH8" s="141"/>
      <c r="AI8" s="141"/>
      <c r="AJ8" s="141"/>
      <c r="AK8" s="141"/>
      <c r="AL8" s="141"/>
      <c r="AM8" s="141"/>
      <c r="AN8" s="141"/>
      <c r="AO8" s="141"/>
      <c r="AP8" s="141"/>
      <c r="AQ8" s="141"/>
      <c r="AR8" s="141"/>
      <c r="AS8" s="141"/>
      <c r="AT8" s="141"/>
      <c r="AU8" s="141"/>
      <c r="AV8" s="141"/>
      <c r="AW8" s="141"/>
    </row>
    <row r="9" spans="1:49">
      <c r="A9" s="1">
        <v>3</v>
      </c>
      <c r="G9" s="56">
        <f t="shared" ref="G9:G33" si="0">G8+1</f>
        <v>3</v>
      </c>
    </row>
    <row r="10" spans="1:49">
      <c r="A10" s="1">
        <v>4</v>
      </c>
      <c r="B10" s="102" t="s">
        <v>171</v>
      </c>
      <c r="C10" s="103">
        <f t="shared" ref="C10:C15" si="1">HLOOKUP($C$7,$H$7:$BM$33,$G10,FALSE)</f>
        <v>495.03860299266501</v>
      </c>
      <c r="D10" s="103">
        <f t="shared" ref="D10:D15" si="2">HLOOKUP($D$7,$H$7:$BM$33,$G10,FALSE)</f>
        <v>331.14</v>
      </c>
      <c r="E10" s="104">
        <f t="shared" ref="E10:E33" si="3">D10/C10-1</f>
        <v>-0.33108246912835904</v>
      </c>
      <c r="G10" s="56">
        <f t="shared" si="0"/>
        <v>4</v>
      </c>
      <c r="H10" s="102" t="s">
        <v>171</v>
      </c>
      <c r="I10" s="103">
        <f t="shared" ref="I10:AI10" si="4">SUM(I11:I15)</f>
        <v>413.24504169000005</v>
      </c>
      <c r="J10" s="103">
        <f t="shared" si="4"/>
        <v>408.02186204000003</v>
      </c>
      <c r="K10" s="103">
        <f t="shared" si="4"/>
        <v>351.24406281</v>
      </c>
      <c r="L10" s="103">
        <f t="shared" si="4"/>
        <v>330.06554598999998</v>
      </c>
      <c r="M10" s="103">
        <f t="shared" si="4"/>
        <v>317.00992109000003</v>
      </c>
      <c r="N10" s="103">
        <f t="shared" si="4"/>
        <v>358.45925773000005</v>
      </c>
      <c r="O10" s="103">
        <f t="shared" si="4"/>
        <v>336.99432981999996</v>
      </c>
      <c r="P10" s="103">
        <f t="shared" si="4"/>
        <v>295.2</v>
      </c>
      <c r="Q10" s="103">
        <f t="shared" si="4"/>
        <v>306.96104971</v>
      </c>
      <c r="R10" s="103">
        <f t="shared" si="4"/>
        <v>315.18701463999997</v>
      </c>
      <c r="S10" s="103">
        <f t="shared" si="4"/>
        <v>285.26607687999996</v>
      </c>
      <c r="T10" s="103">
        <f t="shared" si="4"/>
        <v>312.09914898</v>
      </c>
      <c r="U10" s="103">
        <f t="shared" si="4"/>
        <v>334.40723076999996</v>
      </c>
      <c r="V10" s="103">
        <f t="shared" si="4"/>
        <v>346.55393107000003</v>
      </c>
      <c r="W10" s="103">
        <f t="shared" si="4"/>
        <v>332.52042805999997</v>
      </c>
      <c r="X10" s="103">
        <f t="shared" si="4"/>
        <v>342.09300468000004</v>
      </c>
      <c r="Y10" s="103">
        <f t="shared" si="4"/>
        <v>353.94514801000003</v>
      </c>
      <c r="Z10" s="103">
        <f t="shared" si="4"/>
        <v>348.51063906000007</v>
      </c>
      <c r="AA10" s="103">
        <f t="shared" si="4"/>
        <v>320.06585212000005</v>
      </c>
      <c r="AB10" s="103">
        <f>+AB11+AB12+AB13+AB14+AB15</f>
        <v>347.33065854</v>
      </c>
      <c r="AC10" s="103">
        <f t="shared" si="4"/>
        <v>341.09638778000004</v>
      </c>
      <c r="AD10" s="103">
        <f t="shared" si="4"/>
        <v>349.16334979000004</v>
      </c>
      <c r="AE10" s="103">
        <f t="shared" si="4"/>
        <v>336.11869616000007</v>
      </c>
      <c r="AF10" s="103">
        <f>SUM(AF11:AF15)</f>
        <v>304.75488297216134</v>
      </c>
      <c r="AG10" s="103">
        <f t="shared" si="4"/>
        <v>304.92839223000004</v>
      </c>
      <c r="AH10" s="103">
        <f t="shared" si="4"/>
        <v>291.72425158999999</v>
      </c>
      <c r="AI10" s="103">
        <f t="shared" si="4"/>
        <v>301.11284210999997</v>
      </c>
      <c r="AJ10" s="103">
        <f>SUM(AJ11:AJ15)</f>
        <v>291.66198053907101</v>
      </c>
      <c r="AK10" s="103">
        <f>SUM(AK11:AK15)</f>
        <v>297.6257196794561</v>
      </c>
      <c r="AL10" s="103">
        <f>SUM(AL11:AL14)</f>
        <v>322.26952723054387</v>
      </c>
      <c r="AM10" s="103">
        <f>SUM(AM11:AM15)</f>
        <v>296.19064495000003</v>
      </c>
      <c r="AN10" s="103">
        <v>330</v>
      </c>
      <c r="AO10" s="103">
        <f>+SUM(AO11:AO15)</f>
        <v>361.71194770738282</v>
      </c>
      <c r="AP10" s="103">
        <f>+SUM(AP11:AP15)</f>
        <v>460.96481391606233</v>
      </c>
      <c r="AQ10" s="103">
        <f t="shared" ref="AQ10:AR10" si="5">+SUM(AQ11:AQ15)</f>
        <v>429.02000000000004</v>
      </c>
      <c r="AR10" s="103">
        <f t="shared" si="5"/>
        <v>469.80545140927131</v>
      </c>
      <c r="AS10" s="103">
        <f>554.589704572665-AS45</f>
        <v>495.03860299266501</v>
      </c>
      <c r="AT10" s="103">
        <v>482.33148441124291</v>
      </c>
      <c r="AU10" s="103">
        <v>367.22722675469447</v>
      </c>
      <c r="AV10" s="103">
        <f>SUM(AV11:AV15)</f>
        <v>346.78685161240321</v>
      </c>
      <c r="AW10" s="103">
        <f>SUM(AW11:AW15)</f>
        <v>331.14</v>
      </c>
    </row>
    <row r="11" spans="1:49">
      <c r="A11" s="1">
        <v>5</v>
      </c>
      <c r="B11" s="5" t="s">
        <v>173</v>
      </c>
      <c r="C11" s="7">
        <f t="shared" si="1"/>
        <v>83.051899029999987</v>
      </c>
      <c r="D11" s="7">
        <f t="shared" si="2"/>
        <v>26.09</v>
      </c>
      <c r="E11" s="35">
        <f t="shared" si="3"/>
        <v>-0.68585907962711634</v>
      </c>
      <c r="G11" s="56">
        <f t="shared" si="0"/>
        <v>5</v>
      </c>
      <c r="H11" s="5" t="s">
        <v>173</v>
      </c>
      <c r="I11" s="7">
        <v>165.97948997</v>
      </c>
      <c r="J11" s="7">
        <v>188.49707770999999</v>
      </c>
      <c r="K11" s="7">
        <v>186.63649657999997</v>
      </c>
      <c r="L11" s="7">
        <v>183.50712984</v>
      </c>
      <c r="M11" s="7">
        <v>167.63677664999997</v>
      </c>
      <c r="N11" s="7">
        <v>168.71629537000001</v>
      </c>
      <c r="O11" s="7">
        <v>144.29418787999998</v>
      </c>
      <c r="P11" s="7">
        <v>138</v>
      </c>
      <c r="Q11" s="7">
        <v>170.95826696</v>
      </c>
      <c r="R11" s="7">
        <v>147.25569370999997</v>
      </c>
      <c r="S11" s="7">
        <v>156.87191987999995</v>
      </c>
      <c r="T11" s="7">
        <v>162.03334683000003</v>
      </c>
      <c r="U11" s="7">
        <v>174.07059289</v>
      </c>
      <c r="V11" s="7">
        <v>164.98893743000002</v>
      </c>
      <c r="W11" s="7">
        <v>169.59507421999999</v>
      </c>
      <c r="X11" s="7">
        <v>165.59156586</v>
      </c>
      <c r="Y11" s="7">
        <v>158.00478936000002</v>
      </c>
      <c r="Z11" s="7">
        <v>149.08084310000004</v>
      </c>
      <c r="AA11" s="7">
        <v>149.56883198000003</v>
      </c>
      <c r="AB11" s="7">
        <f>166.6-AB46</f>
        <v>142.62038269999999</v>
      </c>
      <c r="AC11" s="7">
        <f>148-AC46</f>
        <v>120.40774446</v>
      </c>
      <c r="AD11" s="7">
        <v>121.72846186000001</v>
      </c>
      <c r="AE11" s="7">
        <v>122.14336145000004</v>
      </c>
      <c r="AF11" s="7">
        <f>133.84807263-AF46</f>
        <v>104.94583419999999</v>
      </c>
      <c r="AG11" s="7">
        <f>114.6884281-AG46</f>
        <v>85.40246028</v>
      </c>
      <c r="AH11" s="7">
        <f>95.65596281-AH46</f>
        <v>70.597202500000009</v>
      </c>
      <c r="AI11" s="7">
        <f>117.68062571-AI46</f>
        <v>90.903762</v>
      </c>
      <c r="AJ11" s="7">
        <f>110.34880305-AJ46</f>
        <v>82.93251309</v>
      </c>
      <c r="AK11" s="7">
        <f>107.74954268-AK46</f>
        <v>80.394318520000013</v>
      </c>
      <c r="AL11" s="7">
        <v>88.743230329999989</v>
      </c>
      <c r="AM11" s="7">
        <v>92.522331149999999</v>
      </c>
      <c r="AN11" s="7">
        <v>87.586306500000035</v>
      </c>
      <c r="AO11" s="7">
        <v>68.380471639999996</v>
      </c>
      <c r="AP11" s="7">
        <v>75.41440996</v>
      </c>
      <c r="AQ11" s="7">
        <v>87.1</v>
      </c>
      <c r="AR11" s="7">
        <v>76.240821440000019</v>
      </c>
      <c r="AS11" s="7">
        <f>123.2826618-AS46</f>
        <v>83.051899029999987</v>
      </c>
      <c r="AT11" s="7">
        <v>88.355904710000019</v>
      </c>
      <c r="AU11" s="7">
        <v>96.599977299999964</v>
      </c>
      <c r="AV11" s="7">
        <v>102.02196951000003</v>
      </c>
      <c r="AW11" s="7">
        <v>26.09</v>
      </c>
    </row>
    <row r="12" spans="1:49">
      <c r="A12" s="1">
        <v>6</v>
      </c>
      <c r="B12" s="5" t="s">
        <v>174</v>
      </c>
      <c r="C12" s="7">
        <f t="shared" si="1"/>
        <v>290.08562165000001</v>
      </c>
      <c r="D12" s="7">
        <f t="shared" si="2"/>
        <v>205.35</v>
      </c>
      <c r="E12" s="35">
        <f t="shared" si="3"/>
        <v>-0.29210555548401829</v>
      </c>
      <c r="G12" s="56">
        <f t="shared" si="0"/>
        <v>6</v>
      </c>
      <c r="H12" s="5" t="s">
        <v>174</v>
      </c>
      <c r="I12" s="7">
        <v>150.77243078000001</v>
      </c>
      <c r="J12" s="7">
        <v>123.92201981999999</v>
      </c>
      <c r="K12" s="7">
        <v>120.66280569000001</v>
      </c>
      <c r="L12" s="7">
        <v>106.75534663999998</v>
      </c>
      <c r="M12" s="7">
        <v>73.031641460000003</v>
      </c>
      <c r="N12" s="7">
        <v>86.392646360000015</v>
      </c>
      <c r="O12" s="7">
        <v>96.76054504999999</v>
      </c>
      <c r="P12" s="7">
        <v>101.5</v>
      </c>
      <c r="Q12" s="7">
        <v>90.937325090000002</v>
      </c>
      <c r="R12" s="7">
        <v>88.196378429999996</v>
      </c>
      <c r="S12" s="7">
        <v>87.818069400000013</v>
      </c>
      <c r="T12" s="7">
        <v>116.27806589999999</v>
      </c>
      <c r="U12" s="7">
        <v>89.859854289999987</v>
      </c>
      <c r="V12" s="7">
        <v>97.303830059999996</v>
      </c>
      <c r="W12" s="7">
        <v>106.30207426000001</v>
      </c>
      <c r="X12" s="7">
        <v>120.75143799999999</v>
      </c>
      <c r="Y12" s="7">
        <v>141.77274656</v>
      </c>
      <c r="Z12" s="43">
        <v>141.20456391000002</v>
      </c>
      <c r="AA12" s="43">
        <v>142.17470935000003</v>
      </c>
      <c r="AB12" s="7">
        <f>180-AB47</f>
        <v>173.02595392000001</v>
      </c>
      <c r="AC12" s="7">
        <f>164-AC47</f>
        <v>155.65650081000001</v>
      </c>
      <c r="AD12" s="7">
        <v>157.80371734000002</v>
      </c>
      <c r="AE12" s="7">
        <v>180.18419281999999</v>
      </c>
      <c r="AF12" s="7">
        <f>186.49362536-AF47</f>
        <v>178.32125483999999</v>
      </c>
      <c r="AG12" s="7">
        <f>168.538033-AG47</f>
        <v>163.07983377000002</v>
      </c>
      <c r="AH12" s="7">
        <f>171.75554184-AH47</f>
        <v>167.39293016000002</v>
      </c>
      <c r="AI12" s="7">
        <f>169.27509729-AI47</f>
        <v>162.71134824999999</v>
      </c>
      <c r="AJ12" s="7">
        <f>188.34526278-AJ47</f>
        <v>182.34156679</v>
      </c>
      <c r="AK12" s="7">
        <f>166.75441463-AK47</f>
        <v>160.15493628000002</v>
      </c>
      <c r="AL12" s="7">
        <v>162.52249409000001</v>
      </c>
      <c r="AM12" s="7">
        <v>149.12498557999999</v>
      </c>
      <c r="AN12" s="7">
        <v>195.05197591999996</v>
      </c>
      <c r="AO12" s="7">
        <v>230.86547482000003</v>
      </c>
      <c r="AP12" s="7">
        <v>240.11867740000002</v>
      </c>
      <c r="AQ12" s="7">
        <v>244.38</v>
      </c>
      <c r="AR12" s="7">
        <v>316.51294347999988</v>
      </c>
      <c r="AS12" s="7">
        <f>305.34072901-AS47</f>
        <v>290.08562165000001</v>
      </c>
      <c r="AT12" s="7">
        <v>278.36316868000011</v>
      </c>
      <c r="AU12" s="7">
        <v>224.04464177</v>
      </c>
      <c r="AV12" s="7">
        <v>229.19460626999995</v>
      </c>
      <c r="AW12" s="7">
        <v>205.35</v>
      </c>
    </row>
    <row r="13" spans="1:49">
      <c r="A13" s="1">
        <v>7</v>
      </c>
      <c r="B13" s="5" t="s">
        <v>175</v>
      </c>
      <c r="C13" s="43">
        <f t="shared" si="1"/>
        <v>106.50984036999999</v>
      </c>
      <c r="D13" s="43">
        <f t="shared" si="2"/>
        <v>64.540000000000006</v>
      </c>
      <c r="E13" s="35">
        <f t="shared" si="3"/>
        <v>-0.39404659911424844</v>
      </c>
      <c r="G13" s="56">
        <f t="shared" si="0"/>
        <v>7</v>
      </c>
      <c r="H13" s="5" t="s">
        <v>175</v>
      </c>
      <c r="I13" s="7">
        <v>1.5028240999999996</v>
      </c>
      <c r="J13" s="7">
        <v>49.894180069999997</v>
      </c>
      <c r="K13" s="7">
        <v>4.4164942199999997</v>
      </c>
      <c r="L13" s="7">
        <v>0.11559316000000001</v>
      </c>
      <c r="M13" s="7">
        <v>37.97244843</v>
      </c>
      <c r="N13" s="7">
        <v>61.590290149999994</v>
      </c>
      <c r="O13" s="7">
        <v>31.334177269999998</v>
      </c>
      <c r="P13" s="7">
        <v>22.6</v>
      </c>
      <c r="Q13" s="7">
        <v>15.926482890000001</v>
      </c>
      <c r="R13" s="7">
        <v>35.506546749999998</v>
      </c>
      <c r="S13" s="7">
        <v>2.8136687299999998</v>
      </c>
      <c r="T13" s="7">
        <v>-0.83844826000000339</v>
      </c>
      <c r="U13" s="7">
        <v>25.163804219999999</v>
      </c>
      <c r="V13" s="7">
        <v>43.337346090000004</v>
      </c>
      <c r="W13" s="7">
        <v>14.417883880000002</v>
      </c>
      <c r="X13" s="7">
        <v>16.366405319999998</v>
      </c>
      <c r="Y13" s="7">
        <v>31.975062109999996</v>
      </c>
      <c r="Z13" s="43">
        <v>39.212896179999994</v>
      </c>
      <c r="AA13" s="43">
        <v>11.762932279999999</v>
      </c>
      <c r="AB13" s="7">
        <f>16.75352979-AB48</f>
        <v>10.462075560000002</v>
      </c>
      <c r="AC13" s="7">
        <f>52.6-AC48</f>
        <v>47.765560749999999</v>
      </c>
      <c r="AD13" s="7">
        <v>43.158053299999992</v>
      </c>
      <c r="AE13" s="7">
        <v>6.1860102600000033</v>
      </c>
      <c r="AF13" s="7">
        <f>7.57846146216136-AF48</f>
        <v>4.5668948321613598</v>
      </c>
      <c r="AG13" s="7">
        <f>37.90068371-AG48</f>
        <v>36.242600600000003</v>
      </c>
      <c r="AH13" s="7">
        <f>31.0031451-AH48</f>
        <v>27.08840919</v>
      </c>
      <c r="AI13" s="7">
        <f>38.46334234-AI48</f>
        <v>30.277005829999997</v>
      </c>
      <c r="AJ13" s="7">
        <f>24.28213842-AJ48</f>
        <v>15.143313109999999</v>
      </c>
      <c r="AK13" s="7">
        <f>27.35959185-AK48</f>
        <v>24.850406810000003</v>
      </c>
      <c r="AL13" s="7">
        <v>59.43367155</v>
      </c>
      <c r="AM13" s="7">
        <v>45.743328219999995</v>
      </c>
      <c r="AN13" s="7">
        <v>42.527461470000006</v>
      </c>
      <c r="AO13" s="7">
        <v>53.898064349999991</v>
      </c>
      <c r="AP13" s="43">
        <v>136.98362736999997</v>
      </c>
      <c r="AQ13" s="43">
        <v>87.56</v>
      </c>
      <c r="AR13" s="43">
        <v>71.843575979999997</v>
      </c>
      <c r="AS13" s="43">
        <v>106.50984036999999</v>
      </c>
      <c r="AT13" s="43">
        <v>103.23218716999999</v>
      </c>
      <c r="AU13" s="43">
        <v>24.150724980000007</v>
      </c>
      <c r="AV13" s="43">
        <v>3.2635667100000063</v>
      </c>
      <c r="AW13" s="63">
        <v>64.540000000000006</v>
      </c>
    </row>
    <row r="14" spans="1:49">
      <c r="A14" s="1">
        <v>8</v>
      </c>
      <c r="B14" s="5" t="s">
        <v>146</v>
      </c>
      <c r="C14" s="63">
        <f t="shared" si="1"/>
        <v>0</v>
      </c>
      <c r="D14" s="63" t="str">
        <f t="shared" si="2"/>
        <v>-</v>
      </c>
      <c r="E14" s="47" t="s">
        <v>132</v>
      </c>
      <c r="G14" s="56">
        <f t="shared" si="0"/>
        <v>8</v>
      </c>
      <c r="H14" s="5" t="s">
        <v>146</v>
      </c>
      <c r="I14" s="7">
        <v>41.156034410000004</v>
      </c>
      <c r="J14" s="7">
        <v>45.093694849999999</v>
      </c>
      <c r="K14" s="7">
        <v>39.179404990000002</v>
      </c>
      <c r="L14" s="7">
        <v>37.815244419999999</v>
      </c>
      <c r="M14" s="7">
        <v>36.024857099999998</v>
      </c>
      <c r="N14" s="7">
        <v>39.49619045</v>
      </c>
      <c r="O14" s="7">
        <v>37.876558799999998</v>
      </c>
      <c r="P14" s="7">
        <v>31.7</v>
      </c>
      <c r="Q14" s="7">
        <v>28.420257320000005</v>
      </c>
      <c r="R14" s="7">
        <v>43.988652819999999</v>
      </c>
      <c r="S14" s="7">
        <v>37.405080679999998</v>
      </c>
      <c r="T14" s="7">
        <v>32.429191130000014</v>
      </c>
      <c r="U14" s="7">
        <v>40.141034320000003</v>
      </c>
      <c r="V14" s="7">
        <v>35.80881715000001</v>
      </c>
      <c r="W14" s="7">
        <v>36.7775417</v>
      </c>
      <c r="X14" s="7">
        <v>35.566902029999994</v>
      </c>
      <c r="Y14" s="7">
        <v>16.340877990000003</v>
      </c>
      <c r="Z14" s="43">
        <v>13.981938399999999</v>
      </c>
      <c r="AA14" s="43">
        <v>11.010783440000001</v>
      </c>
      <c r="AB14" s="7">
        <v>15.06275686</v>
      </c>
      <c r="AC14" s="7">
        <f>10.45666325-AC49</f>
        <v>10.45666325</v>
      </c>
      <c r="AD14" s="7">
        <v>18.083903670000005</v>
      </c>
      <c r="AE14" s="7">
        <v>20.128161159999998</v>
      </c>
      <c r="AF14" s="7">
        <f>12.92461491-AF49</f>
        <v>12.924614910000001</v>
      </c>
      <c r="AG14" s="7">
        <f>15.14027786-AG49</f>
        <v>15.140277859999999</v>
      </c>
      <c r="AH14" s="7">
        <v>19.754234069999995</v>
      </c>
      <c r="AI14" s="7">
        <v>14.265083909999994</v>
      </c>
      <c r="AJ14" s="7">
        <v>6.129047700000001</v>
      </c>
      <c r="AK14" s="7">
        <f>26.02272966-AK49</f>
        <v>26.02272966</v>
      </c>
      <c r="AL14" s="7">
        <v>11.570131260543871</v>
      </c>
      <c r="AM14" s="7">
        <v>0</v>
      </c>
      <c r="AN14" s="43">
        <v>0</v>
      </c>
      <c r="AO14" s="43">
        <v>0</v>
      </c>
      <c r="AP14" s="43">
        <v>0</v>
      </c>
      <c r="AQ14" s="43">
        <v>0</v>
      </c>
      <c r="AR14" s="63" t="s">
        <v>132</v>
      </c>
      <c r="AS14" s="63">
        <v>0</v>
      </c>
      <c r="AT14" s="63">
        <v>0</v>
      </c>
      <c r="AU14" s="63">
        <v>0</v>
      </c>
      <c r="AV14" s="63" t="s">
        <v>132</v>
      </c>
      <c r="AW14" s="63" t="s">
        <v>132</v>
      </c>
    </row>
    <row r="15" spans="1:49">
      <c r="A15" s="1">
        <v>9</v>
      </c>
      <c r="B15" s="5" t="s">
        <v>144</v>
      </c>
      <c r="C15" s="43">
        <f t="shared" si="1"/>
        <v>15.391241942664575</v>
      </c>
      <c r="D15" s="43">
        <f t="shared" si="2"/>
        <v>35.159999999999997</v>
      </c>
      <c r="E15" s="47" t="s">
        <v>132</v>
      </c>
      <c r="G15" s="56">
        <f t="shared" si="0"/>
        <v>9</v>
      </c>
      <c r="H15" s="5" t="s">
        <v>144</v>
      </c>
      <c r="I15" s="7">
        <v>53.834262430000003</v>
      </c>
      <c r="J15" s="7">
        <v>0.61488958999999999</v>
      </c>
      <c r="K15" s="7">
        <v>0.34886132999999997</v>
      </c>
      <c r="L15" s="7">
        <v>1.8722319299999999</v>
      </c>
      <c r="M15" s="7">
        <v>2.3441974500000002</v>
      </c>
      <c r="N15" s="7">
        <v>2.2638354000000001</v>
      </c>
      <c r="O15" s="7">
        <v>26.728860820000001</v>
      </c>
      <c r="P15" s="7">
        <v>1.4</v>
      </c>
      <c r="Q15" s="7">
        <v>0.71871744999999998</v>
      </c>
      <c r="R15" s="7">
        <v>0.23974292999999997</v>
      </c>
      <c r="S15" s="7">
        <v>0.35733819000000006</v>
      </c>
      <c r="T15" s="7">
        <v>2.1969933800000003</v>
      </c>
      <c r="U15" s="7">
        <v>5.1719450499999988</v>
      </c>
      <c r="V15" s="7">
        <v>5.1150003399999999</v>
      </c>
      <c r="W15" s="7">
        <v>5.4278540000000008</v>
      </c>
      <c r="X15" s="7">
        <v>3.8166934700000001</v>
      </c>
      <c r="Y15" s="7">
        <v>5.8516719899999989</v>
      </c>
      <c r="Z15" s="43">
        <v>5.0303974700000005</v>
      </c>
      <c r="AA15" s="43">
        <v>5.5485950699999984</v>
      </c>
      <c r="AB15" s="7">
        <f>7.3-AB50</f>
        <v>6.1594894999999994</v>
      </c>
      <c r="AC15" s="7">
        <f>8-AC50</f>
        <v>6.8099185100000001</v>
      </c>
      <c r="AD15" s="7">
        <v>8.3892136199999996</v>
      </c>
      <c r="AE15" s="7">
        <v>7.476970470000003</v>
      </c>
      <c r="AF15" s="7">
        <f>11.22495761-AF50</f>
        <v>3.9962841899999999</v>
      </c>
      <c r="AG15" s="7">
        <f>6.34286927-AG50</f>
        <v>5.0632197199999993</v>
      </c>
      <c r="AH15" s="7">
        <f>8.34545564-AH50</f>
        <v>6.8914756700000011</v>
      </c>
      <c r="AI15" s="7">
        <f>4.31825038-AI50</f>
        <v>2.9556421200000003</v>
      </c>
      <c r="AJ15" s="7">
        <f>6.63551003907104-AJ50</f>
        <v>5.1155398490710393</v>
      </c>
      <c r="AK15" s="7">
        <f>7.69899216945612-AK50</f>
        <v>6.2033284094561196</v>
      </c>
      <c r="AL15" s="7">
        <f>9.90659021544207-AL50</f>
        <v>8.6612371854420704</v>
      </c>
      <c r="AM15" s="7">
        <v>8.8000000000000007</v>
      </c>
      <c r="AN15" s="7">
        <v>4.9064399222843491</v>
      </c>
      <c r="AO15" s="7">
        <v>8.5679368973828378</v>
      </c>
      <c r="AP15" s="43">
        <v>8.4480991860623238</v>
      </c>
      <c r="AQ15" s="43">
        <v>9.98</v>
      </c>
      <c r="AR15" s="43">
        <v>5.2081105092714992</v>
      </c>
      <c r="AS15" s="43">
        <v>15.391241942664575</v>
      </c>
      <c r="AT15" s="43">
        <v>12.3802238512428</v>
      </c>
      <c r="AU15" s="43">
        <v>22.431882704694491</v>
      </c>
      <c r="AV15" s="43">
        <v>12.30670912240323</v>
      </c>
      <c r="AW15" s="43">
        <v>35.159999999999997</v>
      </c>
    </row>
    <row r="16" spans="1:49">
      <c r="A16" s="1">
        <v>10</v>
      </c>
      <c r="E16" s="39"/>
      <c r="G16" s="56">
        <f t="shared" si="0"/>
        <v>10</v>
      </c>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M16" s="32"/>
      <c r="AN16" s="32"/>
      <c r="AO16" s="32"/>
    </row>
    <row r="17" spans="1:49">
      <c r="A17" s="1">
        <v>11</v>
      </c>
      <c r="B17" s="102" t="s">
        <v>176</v>
      </c>
      <c r="C17" s="105">
        <f t="shared" ref="C17:C23" si="6">HLOOKUP($C$7,$H$7:$BM$33,$G17,FALSE)</f>
        <v>-293.65883464210339</v>
      </c>
      <c r="D17" s="105">
        <f t="shared" ref="D17:D23" si="7">HLOOKUP($D$7,$H$7:$BM$33,$G17,FALSE)</f>
        <v>-167.89720056754703</v>
      </c>
      <c r="E17" s="104">
        <f>D17/C17-1</f>
        <v>-0.42825762156220604</v>
      </c>
      <c r="G17" s="56">
        <f t="shared" si="0"/>
        <v>11</v>
      </c>
      <c r="H17" s="102" t="s">
        <v>176</v>
      </c>
      <c r="I17" s="103">
        <f t="shared" ref="I17:AJ17" si="8">SUM(I18:I23)</f>
        <v>-275.35129532000002</v>
      </c>
      <c r="J17" s="103">
        <f t="shared" si="8"/>
        <v>-245.57660835000001</v>
      </c>
      <c r="K17" s="103">
        <f t="shared" si="8"/>
        <v>-213.76067669000003</v>
      </c>
      <c r="L17" s="103">
        <f t="shared" si="8"/>
        <v>-149.01963957999999</v>
      </c>
      <c r="M17" s="103">
        <f t="shared" si="8"/>
        <v>-205.1628939</v>
      </c>
      <c r="N17" s="103">
        <f t="shared" si="8"/>
        <v>-201.26569451</v>
      </c>
      <c r="O17" s="103">
        <f t="shared" si="8"/>
        <v>-136.02479528999999</v>
      </c>
      <c r="P17" s="103">
        <f t="shared" si="8"/>
        <v>-98.7</v>
      </c>
      <c r="Q17" s="103">
        <f t="shared" si="8"/>
        <v>-132.75843111</v>
      </c>
      <c r="R17" s="103">
        <f t="shared" si="8"/>
        <v>-150.15819938999999</v>
      </c>
      <c r="S17" s="103">
        <f t="shared" si="8"/>
        <v>-154.75086822</v>
      </c>
      <c r="T17" s="103">
        <f t="shared" si="8"/>
        <v>-142.57810221000003</v>
      </c>
      <c r="U17" s="103">
        <f t="shared" si="8"/>
        <v>-167.26441367999999</v>
      </c>
      <c r="V17" s="103">
        <f t="shared" si="8"/>
        <v>-175.75027431000001</v>
      </c>
      <c r="W17" s="103">
        <f t="shared" si="8"/>
        <v>-147.17653369000001</v>
      </c>
      <c r="X17" s="103">
        <f t="shared" si="8"/>
        <v>-124.09420446999999</v>
      </c>
      <c r="Y17" s="103">
        <f t="shared" si="8"/>
        <v>-173.83893678999999</v>
      </c>
      <c r="Z17" s="103">
        <f t="shared" si="8"/>
        <v>-181.13288132</v>
      </c>
      <c r="AA17" s="103">
        <f t="shared" si="8"/>
        <v>-146.27714492000001</v>
      </c>
      <c r="AB17" s="103">
        <f t="shared" si="8"/>
        <v>-116.73437586999998</v>
      </c>
      <c r="AC17" s="103">
        <f t="shared" si="8"/>
        <v>-170.47125767000003</v>
      </c>
      <c r="AD17" s="103">
        <f t="shared" si="8"/>
        <v>-170.79738747000002</v>
      </c>
      <c r="AE17" s="103">
        <f t="shared" si="8"/>
        <v>-152.53082833000002</v>
      </c>
      <c r="AF17" s="103">
        <f t="shared" si="8"/>
        <v>-117.26530571084766</v>
      </c>
      <c r="AG17" s="103">
        <f t="shared" si="8"/>
        <v>-128.9747912</v>
      </c>
      <c r="AH17" s="103">
        <f t="shared" si="8"/>
        <v>-125.15747811000001</v>
      </c>
      <c r="AI17" s="103">
        <f t="shared" si="8"/>
        <v>-117.61759233000001</v>
      </c>
      <c r="AJ17" s="103">
        <f t="shared" si="8"/>
        <v>-103.64530324</v>
      </c>
      <c r="AK17" s="103">
        <f t="shared" ref="AK17:AR17" si="9">+SUM(AK18:AK23)</f>
        <v>-145.81400551999999</v>
      </c>
      <c r="AL17" s="103">
        <f t="shared" si="9"/>
        <v>-174.63671665124437</v>
      </c>
      <c r="AM17" s="103">
        <f t="shared" si="9"/>
        <v>-235.42365913</v>
      </c>
      <c r="AN17" s="103">
        <f t="shared" si="9"/>
        <v>-152.81074061000007</v>
      </c>
      <c r="AO17" s="103">
        <f t="shared" si="9"/>
        <v>-211.96305361999998</v>
      </c>
      <c r="AP17" s="103">
        <f t="shared" si="9"/>
        <v>-298.74683102163107</v>
      </c>
      <c r="AQ17" s="103">
        <f t="shared" si="9"/>
        <v>-218.07999999999998</v>
      </c>
      <c r="AR17" s="103">
        <f t="shared" si="9"/>
        <v>-210.35453464999992</v>
      </c>
      <c r="AS17" s="103">
        <f>+SUM(AS18:AS23)</f>
        <v>-293.65883464210339</v>
      </c>
      <c r="AT17" s="103">
        <v>-310.66872642850745</v>
      </c>
      <c r="AU17" s="103">
        <f t="shared" ref="AU17" si="10">SUM(AU18:AU23)</f>
        <v>-155.8250032176779</v>
      </c>
      <c r="AV17" s="103">
        <f>SUM(AV18:AV23)</f>
        <v>-174.63225831325133</v>
      </c>
      <c r="AW17" s="103">
        <f>SUM(AW18:AW23)</f>
        <v>-167.89720056754703</v>
      </c>
    </row>
    <row r="18" spans="1:49">
      <c r="A18" s="1">
        <v>12</v>
      </c>
      <c r="B18" s="5" t="s">
        <v>146</v>
      </c>
      <c r="C18" s="63">
        <f t="shared" si="6"/>
        <v>-37.42370777</v>
      </c>
      <c r="D18" s="63">
        <f t="shared" si="7"/>
        <v>-32.837051469999999</v>
      </c>
      <c r="E18" s="35">
        <f t="shared" si="3"/>
        <v>-0.12256017838181199</v>
      </c>
      <c r="G18" s="56">
        <f t="shared" si="0"/>
        <v>12</v>
      </c>
      <c r="H18" s="5" t="s">
        <v>146</v>
      </c>
      <c r="I18" s="43">
        <v>-48.867815859999993</v>
      </c>
      <c r="J18" s="43">
        <v>-36.536173910000002</v>
      </c>
      <c r="K18" s="43">
        <v>-36.232333570000002</v>
      </c>
      <c r="L18" s="43">
        <v>-40.281641289999996</v>
      </c>
      <c r="M18" s="43">
        <v>-39.09474281</v>
      </c>
      <c r="N18" s="43">
        <v>-34.689093559999996</v>
      </c>
      <c r="O18" s="43">
        <v>-34.50693442</v>
      </c>
      <c r="P18" s="43">
        <v>-33.299999999999997</v>
      </c>
      <c r="Q18" s="43">
        <v>-34.796432860000003</v>
      </c>
      <c r="R18" s="43">
        <v>-36.290084159999992</v>
      </c>
      <c r="S18" s="43">
        <v>-35.83344452</v>
      </c>
      <c r="T18" s="43">
        <v>-34.904950130000003</v>
      </c>
      <c r="U18" s="43">
        <v>-40.870053159999991</v>
      </c>
      <c r="V18" s="43">
        <v>-36.607482070000003</v>
      </c>
      <c r="W18" s="43">
        <v>-38.842737790000008</v>
      </c>
      <c r="X18" s="43">
        <v>-40.685668849999999</v>
      </c>
      <c r="Y18" s="43">
        <v>-39.213009910000004</v>
      </c>
      <c r="Z18" s="43">
        <v>-31.770287920000001</v>
      </c>
      <c r="AA18" s="43">
        <v>-26.527575679999998</v>
      </c>
      <c r="AB18" s="43">
        <f>+-32.17954707-AB53</f>
        <v>-32.179547069999998</v>
      </c>
      <c r="AC18" s="43">
        <f>+-32.9777754-AC53</f>
        <v>-32.4816121</v>
      </c>
      <c r="AD18" s="43">
        <f>+-34.29679217-AD53</f>
        <v>-33.566455930000004</v>
      </c>
      <c r="AE18" s="43">
        <v>-49.28598399000002</v>
      </c>
      <c r="AF18" s="43">
        <f>+-20.88005158-AF53</f>
        <v>-19.960651899999998</v>
      </c>
      <c r="AG18" s="43">
        <f>+-21.55022939-AG53</f>
        <v>-20.850229389999999</v>
      </c>
      <c r="AH18" s="43">
        <f>+-26.60999613-AH53</f>
        <v>-24.390609949999998</v>
      </c>
      <c r="AI18" s="43">
        <f>+-26.50304141-AI53</f>
        <v>-25.258113340000001</v>
      </c>
      <c r="AJ18" s="43">
        <f>+-38.09702692-AJ53</f>
        <v>-36.941916479999996</v>
      </c>
      <c r="AK18" s="43">
        <f>+-31.25610667-AK53</f>
        <v>-30.835691730000001</v>
      </c>
      <c r="AL18" s="43">
        <v>-36.579687749999998</v>
      </c>
      <c r="AM18" s="43">
        <v>-31.3</v>
      </c>
      <c r="AN18" s="43">
        <v>-28.740887379999975</v>
      </c>
      <c r="AO18" s="43">
        <v>-34.999264529999991</v>
      </c>
      <c r="AP18" s="43">
        <v>-35.361309640000002</v>
      </c>
      <c r="AQ18" s="43">
        <v>-30.31</v>
      </c>
      <c r="AR18" s="43">
        <v>-33.132624860000035</v>
      </c>
      <c r="AS18" s="43">
        <v>-37.42370777</v>
      </c>
      <c r="AT18" s="43">
        <v>-41.114205829999996</v>
      </c>
      <c r="AU18" s="43">
        <v>-28.996101320000015</v>
      </c>
      <c r="AV18" s="43">
        <v>-28.341474049999988</v>
      </c>
      <c r="AW18" s="43">
        <v>-32.837051469999999</v>
      </c>
    </row>
    <row r="19" spans="1:49">
      <c r="A19" s="1">
        <v>13</v>
      </c>
      <c r="B19" s="5" t="s">
        <v>147</v>
      </c>
      <c r="C19" s="63">
        <f t="shared" si="6"/>
        <v>-31.198525449999998</v>
      </c>
      <c r="D19" s="63">
        <f t="shared" si="7"/>
        <v>-9.4458161899999986</v>
      </c>
      <c r="E19" s="35">
        <f t="shared" si="3"/>
        <v>-0.6972351720552229</v>
      </c>
      <c r="G19" s="56">
        <f t="shared" si="0"/>
        <v>13</v>
      </c>
      <c r="H19" s="5" t="s">
        <v>147</v>
      </c>
      <c r="I19" s="43">
        <v>-18.03067094</v>
      </c>
      <c r="J19" s="43">
        <v>-3.3591411400000002</v>
      </c>
      <c r="K19" s="43">
        <v>-20.369487509999999</v>
      </c>
      <c r="L19" s="43">
        <v>-29.147778030000001</v>
      </c>
      <c r="M19" s="43">
        <v>-4.5187954299999999</v>
      </c>
      <c r="N19" s="43">
        <v>-9.2159443799999998</v>
      </c>
      <c r="O19" s="43">
        <v>-10.38048916</v>
      </c>
      <c r="P19" s="43">
        <v>-16.5</v>
      </c>
      <c r="Q19" s="43">
        <v>-5.5495712899999994</v>
      </c>
      <c r="R19" s="43">
        <v>-6.9293658100000002</v>
      </c>
      <c r="S19" s="43">
        <v>-38.774170070000004</v>
      </c>
      <c r="T19" s="43">
        <v>-34.718472030000001</v>
      </c>
      <c r="U19" s="43">
        <v>-7.4512985600000015</v>
      </c>
      <c r="V19" s="43">
        <v>-8.1270384000000018</v>
      </c>
      <c r="W19" s="43">
        <v>-12.170216480000001</v>
      </c>
      <c r="X19" s="43">
        <v>-15.217228350000001</v>
      </c>
      <c r="Y19" s="43">
        <v>-7.642425229999998</v>
      </c>
      <c r="Z19" s="43">
        <v>-8.2504383900000011</v>
      </c>
      <c r="AA19" s="43">
        <v>-12.82375993</v>
      </c>
      <c r="AB19" s="43">
        <f>+-10.25707385-AB54</f>
        <v>-10.25332315</v>
      </c>
      <c r="AC19" s="43">
        <f>+-2.75986665-AC54</f>
        <v>-2.4879566200000003</v>
      </c>
      <c r="AD19" s="43">
        <f>+-13.18502617-AD54</f>
        <v>-12.817846660000001</v>
      </c>
      <c r="AE19" s="43">
        <v>-30.11858333</v>
      </c>
      <c r="AF19" s="43">
        <f>+-18.77742197-AF54</f>
        <v>-18.427504539999997</v>
      </c>
      <c r="AG19" s="43">
        <f>+-15.50763813-AG54</f>
        <v>-14.207638129999999</v>
      </c>
      <c r="AH19" s="43">
        <f>+-7.04974417-AH54</f>
        <v>-6.5616336200000003</v>
      </c>
      <c r="AI19" s="43">
        <f>+-8.86610442-AI54</f>
        <v>-8.8063862099999994</v>
      </c>
      <c r="AJ19" s="43">
        <f>+-22.67480489-AJ54</f>
        <v>-22.67467628</v>
      </c>
      <c r="AK19" s="43">
        <f>+-15.90505726-AK54</f>
        <v>-15.520190899999999</v>
      </c>
      <c r="AL19" s="43">
        <v>-12.663205760000004</v>
      </c>
      <c r="AM19" s="43">
        <v>-18.399999999999999</v>
      </c>
      <c r="AN19" s="43">
        <v>-22.747301230000005</v>
      </c>
      <c r="AO19" s="43">
        <v>-28.384416129999998</v>
      </c>
      <c r="AP19" s="43">
        <v>-38.247207030000006</v>
      </c>
      <c r="AQ19" s="43">
        <v>-36.07</v>
      </c>
      <c r="AR19" s="43">
        <v>-23.949563029999979</v>
      </c>
      <c r="AS19" s="43">
        <v>-31.198525449999998</v>
      </c>
      <c r="AT19" s="43">
        <v>-34.990852450000013</v>
      </c>
      <c r="AU19" s="43">
        <v>-33.427848479999987</v>
      </c>
      <c r="AV19" s="43">
        <v>-46.032795730000011</v>
      </c>
      <c r="AW19" s="43">
        <v>-9.4458161899999986</v>
      </c>
    </row>
    <row r="20" spans="1:49">
      <c r="A20" s="1">
        <v>14</v>
      </c>
      <c r="B20" s="5" t="s">
        <v>148</v>
      </c>
      <c r="C20" s="63">
        <f t="shared" si="6"/>
        <v>-154.33568976000001</v>
      </c>
      <c r="D20" s="63">
        <f t="shared" si="7"/>
        <v>-71.003414499999991</v>
      </c>
      <c r="E20" s="35">
        <f t="shared" si="3"/>
        <v>-0.53994170363048255</v>
      </c>
      <c r="G20" s="56">
        <f t="shared" si="0"/>
        <v>14</v>
      </c>
      <c r="H20" s="5" t="s">
        <v>148</v>
      </c>
      <c r="I20" s="43">
        <v>-143.05921096000003</v>
      </c>
      <c r="J20" s="43">
        <v>-115.28823815000001</v>
      </c>
      <c r="K20" s="43">
        <v>-64.623558400000007</v>
      </c>
      <c r="L20" s="43">
        <v>-18.6760698</v>
      </c>
      <c r="M20" s="43">
        <v>-95.077913459999991</v>
      </c>
      <c r="N20" s="43">
        <v>-96.246866560000015</v>
      </c>
      <c r="O20" s="43">
        <v>-48.765143299999998</v>
      </c>
      <c r="P20" s="43">
        <v>-11.3</v>
      </c>
      <c r="Q20" s="43">
        <v>-55.49246531</v>
      </c>
      <c r="R20" s="43">
        <v>-48.625604530000011</v>
      </c>
      <c r="S20" s="43">
        <v>-29.351692119999996</v>
      </c>
      <c r="T20" s="43">
        <v>-46.499171390000001</v>
      </c>
      <c r="U20" s="43">
        <v>-74.428830290000008</v>
      </c>
      <c r="V20" s="43">
        <v>-74.671550390000007</v>
      </c>
      <c r="W20" s="43">
        <v>-44.972191940000002</v>
      </c>
      <c r="X20" s="43">
        <v>-22.572275439999995</v>
      </c>
      <c r="Y20" s="43">
        <v>-81.834264469999994</v>
      </c>
      <c r="Z20" s="43">
        <v>-91.752166529999982</v>
      </c>
      <c r="AA20" s="43">
        <v>-63.272530880000005</v>
      </c>
      <c r="AB20" s="43">
        <f>+-51.49424782-AB55</f>
        <v>-26.208514819999998</v>
      </c>
      <c r="AC20" s="43">
        <f>+-103.54780074-AC55</f>
        <v>-83.935614360000002</v>
      </c>
      <c r="AD20" s="43">
        <f>+-95.37933399-AD55</f>
        <v>-79.202876680000003</v>
      </c>
      <c r="AE20" s="43">
        <v>-48.18053414000002</v>
      </c>
      <c r="AF20" s="43">
        <f>+-64.13887255-AF55</f>
        <v>-43.382659270000005</v>
      </c>
      <c r="AG20" s="43">
        <f>+-68.50728894-AG55</f>
        <v>-57.407288939999994</v>
      </c>
      <c r="AH20" s="43">
        <f>+-69.67391141-AH55</f>
        <v>-55.093791430000003</v>
      </c>
      <c r="AI20" s="43">
        <f>+-75.50659227-AI55</f>
        <v>-54.870246770000001</v>
      </c>
      <c r="AJ20" s="43">
        <f>+-31.72562505-AJ55</f>
        <v>-12.156151910000002</v>
      </c>
      <c r="AK20" s="43">
        <f>+-66.27092621-AK55</f>
        <v>-51.142680729999995</v>
      </c>
      <c r="AL20" s="43">
        <v>-76.862570170000012</v>
      </c>
      <c r="AM20" s="43">
        <v>-128.16187044</v>
      </c>
      <c r="AN20" s="43">
        <v>-64.591707400000018</v>
      </c>
      <c r="AO20" s="43">
        <v>-97.481601500000011</v>
      </c>
      <c r="AP20" s="43">
        <v>-128.01139555999998</v>
      </c>
      <c r="AQ20" s="43">
        <v>-89.83</v>
      </c>
      <c r="AR20" s="43">
        <v>-109.43343026999992</v>
      </c>
      <c r="AS20" s="43">
        <v>-154.33568976000001</v>
      </c>
      <c r="AT20" s="43">
        <v>-147.50914857999996</v>
      </c>
      <c r="AU20" s="43">
        <v>-50.611767769999972</v>
      </c>
      <c r="AV20" s="43">
        <v>-55.245906590000061</v>
      </c>
      <c r="AW20" s="43">
        <v>-71.003414499999991</v>
      </c>
    </row>
    <row r="21" spans="1:49">
      <c r="A21" s="1">
        <v>15</v>
      </c>
      <c r="B21" s="5" t="s">
        <v>149</v>
      </c>
      <c r="C21" s="63">
        <f t="shared" si="6"/>
        <v>-7.3668896100000003</v>
      </c>
      <c r="D21" s="63">
        <f t="shared" si="7"/>
        <v>-0.94630468999999995</v>
      </c>
      <c r="E21" s="35">
        <f t="shared" si="3"/>
        <v>-0.87154623727285641</v>
      </c>
      <c r="G21" s="56">
        <f t="shared" si="0"/>
        <v>15</v>
      </c>
      <c r="H21" s="5" t="s">
        <v>149</v>
      </c>
      <c r="I21" s="43">
        <v>-22.91047446</v>
      </c>
      <c r="J21" s="43">
        <v>-43.010705830000006</v>
      </c>
      <c r="K21" s="43">
        <v>-40.598616540000009</v>
      </c>
      <c r="L21" s="43">
        <v>-3.2749097999999996</v>
      </c>
      <c r="M21" s="43">
        <v>-22.496929869999999</v>
      </c>
      <c r="N21" s="43">
        <v>-18.099470910000001</v>
      </c>
      <c r="O21" s="43">
        <v>-1.5190404399999999</v>
      </c>
      <c r="P21" s="43">
        <v>-2</v>
      </c>
      <c r="Q21" s="43">
        <v>-2.0902260800000003</v>
      </c>
      <c r="R21" s="43">
        <v>-23.231005809999996</v>
      </c>
      <c r="S21" s="43">
        <v>-13.097372880000002</v>
      </c>
      <c r="T21" s="43">
        <v>-2.91121008</v>
      </c>
      <c r="U21" s="43">
        <v>-6.969882909999999</v>
      </c>
      <c r="V21" s="43">
        <v>-16.593912970000002</v>
      </c>
      <c r="W21" s="43">
        <v>-4.990396689999999</v>
      </c>
      <c r="X21" s="43">
        <v>-2.59113864</v>
      </c>
      <c r="Y21" s="43">
        <v>-3.0085850299999999</v>
      </c>
      <c r="Z21" s="43">
        <v>-4.8410693299999998</v>
      </c>
      <c r="AA21" s="43">
        <v>-3.6377084799999992</v>
      </c>
      <c r="AB21" s="43">
        <f>+-3.58230685-AB56</f>
        <v>-3.5823068500000002</v>
      </c>
      <c r="AC21" s="43">
        <f>+-9.14473538-AC56</f>
        <v>-9.1447353800000002</v>
      </c>
      <c r="AD21" s="43">
        <v>-2.1464366200000002</v>
      </c>
      <c r="AE21" s="43">
        <v>-0.41594635999999952</v>
      </c>
      <c r="AF21" s="43">
        <f>+-0.974576780847656-AF56</f>
        <v>-0.97457678084765598</v>
      </c>
      <c r="AG21" s="43">
        <v>-4.2986809299999997</v>
      </c>
      <c r="AH21" s="43">
        <f>+-2.94319108-AH56</f>
        <v>-2.9431910800000001</v>
      </c>
      <c r="AI21" s="43">
        <v>-0.41815340000000006</v>
      </c>
      <c r="AJ21" s="43">
        <v>-1.86275127</v>
      </c>
      <c r="AK21" s="43">
        <f>+-16.70689078-AK56</f>
        <v>-16.706890779999998</v>
      </c>
      <c r="AL21" s="43">
        <v>-7.3473143399999978</v>
      </c>
      <c r="AM21" s="43">
        <v>-18.83520717</v>
      </c>
      <c r="AN21" s="43">
        <v>-6.1802511399999993</v>
      </c>
      <c r="AO21" s="43">
        <v>-7.0593287499999997</v>
      </c>
      <c r="AP21" s="43">
        <v>-50.758022610000005</v>
      </c>
      <c r="AQ21" s="43">
        <v>-7.21</v>
      </c>
      <c r="AR21" s="43">
        <v>-5.3518450999999914</v>
      </c>
      <c r="AS21" s="43">
        <v>-7.3668896100000003</v>
      </c>
      <c r="AT21" s="43">
        <v>-8.7086812399999971</v>
      </c>
      <c r="AU21" s="43">
        <v>-0.90205733000000166</v>
      </c>
      <c r="AV21" s="43">
        <v>-1.1735378799999978</v>
      </c>
      <c r="AW21" s="43">
        <v>-0.94630468999999995</v>
      </c>
    </row>
    <row r="22" spans="1:49">
      <c r="A22" s="1">
        <v>16</v>
      </c>
      <c r="B22" s="5" t="s">
        <v>150</v>
      </c>
      <c r="C22" s="63">
        <f t="shared" si="6"/>
        <v>-45.669600989999999</v>
      </c>
      <c r="D22" s="63">
        <f t="shared" si="7"/>
        <v>-33.493438950000005</v>
      </c>
      <c r="E22" s="35">
        <f t="shared" si="3"/>
        <v>-0.26661415418685475</v>
      </c>
      <c r="G22" s="56">
        <f t="shared" si="0"/>
        <v>16</v>
      </c>
      <c r="H22" s="5" t="s">
        <v>150</v>
      </c>
      <c r="I22" s="43">
        <v>-23.41590613</v>
      </c>
      <c r="J22" s="43">
        <v>-25.471509249999997</v>
      </c>
      <c r="K22" s="43">
        <v>-24.229548649999998</v>
      </c>
      <c r="L22" s="43">
        <v>-19.288644770000001</v>
      </c>
      <c r="M22" s="43">
        <v>-26.610703540000006</v>
      </c>
      <c r="N22" s="43">
        <v>-22.176684440000002</v>
      </c>
      <c r="O22" s="43">
        <v>-20.448241290000002</v>
      </c>
      <c r="P22" s="43">
        <v>-8.4</v>
      </c>
      <c r="Q22" s="43">
        <v>-18.665973629999996</v>
      </c>
      <c r="R22" s="43">
        <v>-16.86084202</v>
      </c>
      <c r="S22" s="43">
        <v>-18.844166730000001</v>
      </c>
      <c r="T22" s="43">
        <v>-9.0097784399999981</v>
      </c>
      <c r="U22" s="43">
        <v>-18.267814120000004</v>
      </c>
      <c r="V22" s="43">
        <v>-19.587985530000005</v>
      </c>
      <c r="W22" s="43">
        <v>-21.775002570000002</v>
      </c>
      <c r="X22" s="43">
        <v>-14.182322660000001</v>
      </c>
      <c r="Y22" s="43">
        <v>-22.118387720000001</v>
      </c>
      <c r="Z22" s="43">
        <v>-22.376940360000003</v>
      </c>
      <c r="AA22" s="43">
        <v>-23.068639080000001</v>
      </c>
      <c r="AB22" s="43">
        <v>-19.234630080000002</v>
      </c>
      <c r="AC22" s="43">
        <v>-25.951997500000001</v>
      </c>
      <c r="AD22" s="43">
        <v>-25.329593030000002</v>
      </c>
      <c r="AE22" s="43">
        <v>-7.9583244999999962</v>
      </c>
      <c r="AF22" s="43">
        <v>-14.40621734</v>
      </c>
      <c r="AG22" s="43">
        <v>-20.795866490000002</v>
      </c>
      <c r="AH22" s="43">
        <v>-21.183902500000002</v>
      </c>
      <c r="AI22" s="43">
        <v>-17.545652830000002</v>
      </c>
      <c r="AJ22" s="43">
        <f>+-10.82531167-AJ56</f>
        <v>-9.905931429999999</v>
      </c>
      <c r="AK22" s="43">
        <v>-21.106550949999999</v>
      </c>
      <c r="AL22" s="43">
        <v>-25.186136600000005</v>
      </c>
      <c r="AM22" s="43">
        <v>-26.626581519999998</v>
      </c>
      <c r="AN22" s="43">
        <v>-16.740971340000002</v>
      </c>
      <c r="AO22" s="43">
        <v>-31.017013939999998</v>
      </c>
      <c r="AP22" s="43">
        <v>-31.993431799999996</v>
      </c>
      <c r="AQ22" s="43">
        <v>-41.57</v>
      </c>
      <c r="AR22" s="43">
        <v>-21.827071390000015</v>
      </c>
      <c r="AS22" s="43">
        <v>-45.669600989999999</v>
      </c>
      <c r="AT22" s="43">
        <v>-55.675935639999999</v>
      </c>
      <c r="AU22" s="43">
        <v>-22.305689220000012</v>
      </c>
      <c r="AV22" s="43">
        <v>-19.688287360000004</v>
      </c>
      <c r="AW22" s="43">
        <v>-33.493438950000005</v>
      </c>
    </row>
    <row r="23" spans="1:49">
      <c r="A23" s="1">
        <v>17</v>
      </c>
      <c r="B23" s="5" t="s">
        <v>177</v>
      </c>
      <c r="C23" s="63">
        <f t="shared" si="6"/>
        <v>-17.664421062103383</v>
      </c>
      <c r="D23" s="63">
        <f t="shared" si="7"/>
        <v>-20.171174767547036</v>
      </c>
      <c r="E23" s="35">
        <f t="shared" si="3"/>
        <v>0.1419097572816328</v>
      </c>
      <c r="G23" s="56">
        <f t="shared" si="0"/>
        <v>17</v>
      </c>
      <c r="H23" s="5" t="s">
        <v>177</v>
      </c>
      <c r="I23" s="43">
        <v>-19.06721697</v>
      </c>
      <c r="J23" s="43">
        <v>-21.910840070000003</v>
      </c>
      <c r="K23" s="43">
        <v>-27.707132019999996</v>
      </c>
      <c r="L23" s="43">
        <v>-38.350595890000008</v>
      </c>
      <c r="M23" s="43">
        <v>-17.36380879</v>
      </c>
      <c r="N23" s="43">
        <v>-20.837634659999999</v>
      </c>
      <c r="O23" s="43">
        <v>-20.404946679999998</v>
      </c>
      <c r="P23" s="43">
        <v>-27.2</v>
      </c>
      <c r="Q23" s="43">
        <v>-16.163761940000001</v>
      </c>
      <c r="R23" s="43">
        <v>-18.221297059999998</v>
      </c>
      <c r="S23" s="43">
        <v>-18.850021900000002</v>
      </c>
      <c r="T23" s="43">
        <v>-14.534520140000001</v>
      </c>
      <c r="U23" s="43">
        <v>-19.276534640000001</v>
      </c>
      <c r="V23" s="43">
        <v>-20.162304949999999</v>
      </c>
      <c r="W23" s="43">
        <v>-24.425988220000001</v>
      </c>
      <c r="X23" s="43">
        <v>-28.84557053</v>
      </c>
      <c r="Y23" s="43">
        <v>-20.02226443</v>
      </c>
      <c r="Z23" s="43">
        <v>-22.141978789999996</v>
      </c>
      <c r="AA23" s="43">
        <v>-16.946930869999999</v>
      </c>
      <c r="AB23" s="43">
        <f>+-28.76885844-AB57</f>
        <v>-25.276053900000001</v>
      </c>
      <c r="AC23" s="43">
        <f>+-19.58196495-AC57</f>
        <v>-16.469341709999998</v>
      </c>
      <c r="AD23" s="43">
        <f>+-21.03649055-AD57</f>
        <v>-17.734178549999999</v>
      </c>
      <c r="AE23" s="43">
        <v>-16.571456010000002</v>
      </c>
      <c r="AF23" s="43">
        <f>+-23.46560624-AF57</f>
        <v>-20.113695880000002</v>
      </c>
      <c r="AG23" s="43">
        <f>+-13.36357333-AG57</f>
        <v>-11.41508732</v>
      </c>
      <c r="AH23" s="43">
        <f>+-17.51902408-AH57</f>
        <v>-14.984349530000001</v>
      </c>
      <c r="AI23" s="43">
        <f>+-12.96304668-AI57</f>
        <v>-10.719039779999999</v>
      </c>
      <c r="AJ23" s="43">
        <f>+-24.00240708-AJ57</f>
        <v>-20.103875870000003</v>
      </c>
      <c r="AK23" s="43">
        <f>+-12.00200043-AK57</f>
        <v>-10.502000430000001</v>
      </c>
      <c r="AL23" s="43">
        <v>-15.997802031244371</v>
      </c>
      <c r="AM23" s="43">
        <v>-12.1</v>
      </c>
      <c r="AN23" s="43">
        <v>-13.80962212000005</v>
      </c>
      <c r="AO23" s="43">
        <v>-13.021428770000005</v>
      </c>
      <c r="AP23" s="43">
        <v>-14.375464381631071</v>
      </c>
      <c r="AQ23" s="43">
        <v>-13.09</v>
      </c>
      <c r="AR23" s="43">
        <v>-16.66</v>
      </c>
      <c r="AS23" s="43">
        <v>-17.664421062103383</v>
      </c>
      <c r="AT23" s="43">
        <v>-23.10959951625065</v>
      </c>
      <c r="AU23" s="43">
        <v>-19.581539097677908</v>
      </c>
      <c r="AV23" s="43">
        <v>-24.150256703251269</v>
      </c>
      <c r="AW23" s="43">
        <v>-20.171174767547036</v>
      </c>
    </row>
    <row r="24" spans="1:49">
      <c r="A24" s="1">
        <v>18</v>
      </c>
      <c r="C24" s="92"/>
      <c r="D24" s="92"/>
      <c r="E24" s="39"/>
      <c r="G24" s="56">
        <f t="shared" si="0"/>
        <v>18</v>
      </c>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row>
    <row r="25" spans="1:49">
      <c r="A25" s="1">
        <v>19</v>
      </c>
      <c r="B25" s="102" t="s">
        <v>178</v>
      </c>
      <c r="C25" s="105">
        <f>HLOOKUP($C$7,$H$7:$BM$33,$G25,FALSE)</f>
        <v>201.37976835056162</v>
      </c>
      <c r="D25" s="105">
        <f>HLOOKUP($D$7,$H$7:$BM$33,$G25,FALSE)</f>
        <v>163.24279943245295</v>
      </c>
      <c r="E25" s="104">
        <f t="shared" si="3"/>
        <v>-0.18937835329972119</v>
      </c>
      <c r="F25" s="52"/>
      <c r="G25" s="56">
        <f t="shared" si="0"/>
        <v>19</v>
      </c>
      <c r="H25" s="102" t="s">
        <v>178</v>
      </c>
      <c r="I25" s="103">
        <f t="shared" ref="I25:AE25" si="11">I17+I10</f>
        <v>137.89374637000003</v>
      </c>
      <c r="J25" s="103">
        <f t="shared" si="11"/>
        <v>162.44525369000002</v>
      </c>
      <c r="K25" s="103">
        <f t="shared" si="11"/>
        <v>137.48338611999998</v>
      </c>
      <c r="L25" s="103">
        <f t="shared" si="11"/>
        <v>181.04590640999999</v>
      </c>
      <c r="M25" s="103">
        <f t="shared" si="11"/>
        <v>111.84702719000003</v>
      </c>
      <c r="N25" s="103">
        <f t="shared" si="11"/>
        <v>157.19356322000004</v>
      </c>
      <c r="O25" s="103">
        <f t="shared" si="11"/>
        <v>200.96953452999998</v>
      </c>
      <c r="P25" s="103">
        <f t="shared" si="11"/>
        <v>196.5</v>
      </c>
      <c r="Q25" s="103">
        <f t="shared" si="11"/>
        <v>174.20261859999999</v>
      </c>
      <c r="R25" s="103">
        <f t="shared" si="11"/>
        <v>165.02881524999998</v>
      </c>
      <c r="S25" s="103">
        <f t="shared" si="11"/>
        <v>130.51520865999996</v>
      </c>
      <c r="T25" s="103">
        <f t="shared" si="11"/>
        <v>169.52104676999997</v>
      </c>
      <c r="U25" s="103">
        <f t="shared" si="11"/>
        <v>167.14281708999997</v>
      </c>
      <c r="V25" s="103">
        <f t="shared" si="11"/>
        <v>170.80365676000002</v>
      </c>
      <c r="W25" s="103">
        <f t="shared" si="11"/>
        <v>185.34389436999996</v>
      </c>
      <c r="X25" s="103">
        <f t="shared" si="11"/>
        <v>217.99880021000004</v>
      </c>
      <c r="Y25" s="103">
        <f t="shared" si="11"/>
        <v>180.10621122000003</v>
      </c>
      <c r="Z25" s="103">
        <f t="shared" si="11"/>
        <v>167.37775774000008</v>
      </c>
      <c r="AA25" s="103">
        <f t="shared" si="11"/>
        <v>173.78870720000003</v>
      </c>
      <c r="AB25" s="103">
        <f t="shared" si="11"/>
        <v>230.59628267000002</v>
      </c>
      <c r="AC25" s="103">
        <f t="shared" si="11"/>
        <v>170.62513011000001</v>
      </c>
      <c r="AD25" s="103">
        <f t="shared" si="11"/>
        <v>178.36596232000002</v>
      </c>
      <c r="AE25" s="103">
        <f t="shared" si="11"/>
        <v>183.58786783000005</v>
      </c>
      <c r="AF25" s="103">
        <f t="shared" ref="AF25:AJ25" si="12">AF17+AF10</f>
        <v>187.48957726131368</v>
      </c>
      <c r="AG25" s="103">
        <f t="shared" si="12"/>
        <v>175.95360103000004</v>
      </c>
      <c r="AH25" s="103">
        <f t="shared" si="12"/>
        <v>166.56677347999999</v>
      </c>
      <c r="AI25" s="103">
        <f t="shared" si="12"/>
        <v>183.49524977999997</v>
      </c>
      <c r="AJ25" s="103">
        <f t="shared" si="12"/>
        <v>188.01667729907101</v>
      </c>
      <c r="AK25" s="103">
        <f>AK17+AK10</f>
        <v>151.8117141594561</v>
      </c>
      <c r="AL25" s="103">
        <f>AL17+AL10</f>
        <v>147.6328105792995</v>
      </c>
      <c r="AM25" s="103">
        <f>AM17+AM10</f>
        <v>60.766985820000031</v>
      </c>
      <c r="AN25" s="103">
        <v>177.22567208228426</v>
      </c>
      <c r="AO25" s="103">
        <v>149.74889408738284</v>
      </c>
      <c r="AP25" s="103">
        <v>162.21798289443126</v>
      </c>
      <c r="AQ25" s="103">
        <v>210.94</v>
      </c>
      <c r="AR25" s="103">
        <v>259.19456512764049</v>
      </c>
      <c r="AS25" s="103">
        <f>AS17+AS10</f>
        <v>201.37976835056162</v>
      </c>
      <c r="AT25" s="103">
        <v>171.66275798273546</v>
      </c>
      <c r="AU25" s="103">
        <v>211.40222353701657</v>
      </c>
      <c r="AV25" s="103">
        <f>AV10+AV17</f>
        <v>172.15459329915188</v>
      </c>
      <c r="AW25" s="103">
        <f>AW10+AW17</f>
        <v>163.24279943245295</v>
      </c>
    </row>
    <row r="26" spans="1:49">
      <c r="A26" s="1">
        <v>20</v>
      </c>
      <c r="C26" s="92"/>
      <c r="D26" s="92"/>
      <c r="E26" s="39"/>
      <c r="G26" s="56">
        <f t="shared" si="0"/>
        <v>20</v>
      </c>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row>
    <row r="27" spans="1:49">
      <c r="A27" s="1">
        <v>21</v>
      </c>
      <c r="B27" s="5" t="s">
        <v>153</v>
      </c>
      <c r="C27" s="63">
        <f>HLOOKUP($C$7,$H$7:$BM$33,$G27,FALSE)</f>
        <v>-19.6959955363691</v>
      </c>
      <c r="D27" s="63">
        <f>HLOOKUP($D$7,$H$7:$BM$33,$G27,FALSE)</f>
        <v>-18.808456503994844</v>
      </c>
      <c r="E27" s="35">
        <f t="shared" si="3"/>
        <v>-4.5061902595144088E-2</v>
      </c>
      <c r="F27" s="51"/>
      <c r="G27" s="56">
        <f t="shared" si="0"/>
        <v>21</v>
      </c>
      <c r="H27" s="5" t="s">
        <v>153</v>
      </c>
      <c r="I27" s="43">
        <v>-13.511288560000001</v>
      </c>
      <c r="J27" s="43">
        <v>-15.730694790000001</v>
      </c>
      <c r="K27" s="43">
        <v>-14.94375202</v>
      </c>
      <c r="L27" s="43">
        <v>-15.521342820000001</v>
      </c>
      <c r="M27" s="43">
        <v>-13.954037509999999</v>
      </c>
      <c r="N27" s="43">
        <v>-14.80528035</v>
      </c>
      <c r="O27" s="43">
        <v>-13.73918705</v>
      </c>
      <c r="P27" s="43">
        <v>-13.4</v>
      </c>
      <c r="Q27" s="43">
        <v>-14.19469086</v>
      </c>
      <c r="R27" s="43">
        <v>-15.02867498</v>
      </c>
      <c r="S27" s="43">
        <v>-16.110477190000001</v>
      </c>
      <c r="T27" s="43">
        <v>-16.584576090000002</v>
      </c>
      <c r="U27" s="43">
        <v>-15.693575970000001</v>
      </c>
      <c r="V27" s="43">
        <v>-16.256828450000004</v>
      </c>
      <c r="W27" s="43">
        <v>-17.746854899999999</v>
      </c>
      <c r="X27" s="43">
        <v>-21.240113520000001</v>
      </c>
      <c r="Y27" s="43">
        <v>-19.39190297</v>
      </c>
      <c r="Z27" s="43">
        <v>-18.475289360000001</v>
      </c>
      <c r="AA27" s="43">
        <v>-17.7550566</v>
      </c>
      <c r="AB27" s="43">
        <f>+-19.52008206-AB61</f>
        <v>-18.015688310000002</v>
      </c>
      <c r="AC27" s="43">
        <f>+-18.14563445-AC61</f>
        <v>-16.681628180000001</v>
      </c>
      <c r="AD27" s="43">
        <v>-17.086857370000001</v>
      </c>
      <c r="AE27" s="43">
        <v>-16.935537579999995</v>
      </c>
      <c r="AF27" s="43">
        <v>-17.459000799999998</v>
      </c>
      <c r="AG27" s="43">
        <f>+-15.10311077-AG61</f>
        <v>-13.503110770000001</v>
      </c>
      <c r="AH27" s="43">
        <f>+-15.96317607-AH61</f>
        <v>-14.437053499999999</v>
      </c>
      <c r="AI27" s="43">
        <f>+-16.54621755-AI61</f>
        <v>-15.012555730000001</v>
      </c>
      <c r="AJ27" s="43">
        <f>+-17.7444132051426-AJ61</f>
        <v>-16.2179583251426</v>
      </c>
      <c r="AK27" s="43">
        <f>+-21.2684943257862-AK61</f>
        <v>-19.428022205786199</v>
      </c>
      <c r="AL27" s="43">
        <f>+-21.5443199442137-AL61</f>
        <v>-20.045353354213699</v>
      </c>
      <c r="AM27" s="43">
        <f>+-19.2992554288968-AM61</f>
        <v>-17.735888498896799</v>
      </c>
      <c r="AN27" s="43">
        <v>-16.079637595259822</v>
      </c>
      <c r="AO27" s="43">
        <v>-17.634083860105498</v>
      </c>
      <c r="AP27" s="43">
        <v>-19.528978769894493</v>
      </c>
      <c r="AQ27" s="43">
        <v>-18.940000000000001</v>
      </c>
      <c r="AR27" s="43">
        <v>-19.090453094425904</v>
      </c>
      <c r="AS27" s="43">
        <v>-19.6959955363691</v>
      </c>
      <c r="AT27" s="43">
        <v>-21.133934443273912</v>
      </c>
      <c r="AU27" s="43">
        <v>-21.092168078135348</v>
      </c>
      <c r="AV27" s="43">
        <v>-20.021616717902926</v>
      </c>
      <c r="AW27" s="43">
        <v>-18.808456503994844</v>
      </c>
    </row>
    <row r="28" spans="1:49">
      <c r="A28" s="1">
        <v>22</v>
      </c>
      <c r="B28" s="5" t="s">
        <v>179</v>
      </c>
      <c r="C28" s="63">
        <f>HLOOKUP($C$7,$H$7:$BM$33,$G28,FALSE)</f>
        <v>-14.62311044999999</v>
      </c>
      <c r="D28" s="63">
        <f>HLOOKUP($D$7,$H$7:$BM$33,$G28,FALSE)</f>
        <v>-14.787580705413902</v>
      </c>
      <c r="E28" s="35">
        <f t="shared" si="3"/>
        <v>1.124728257892027E-2</v>
      </c>
      <c r="G28" s="56">
        <f t="shared" si="0"/>
        <v>22</v>
      </c>
      <c r="H28" s="5" t="s">
        <v>179</v>
      </c>
      <c r="I28" s="43">
        <v>-4.6297593400000006</v>
      </c>
      <c r="J28" s="43">
        <v>-5.884523660000001</v>
      </c>
      <c r="K28" s="43">
        <v>-5.5682920600000001</v>
      </c>
      <c r="L28" s="43">
        <v>-6.5220293500000004</v>
      </c>
      <c r="M28" s="43">
        <v>-5.1150877699999997</v>
      </c>
      <c r="N28" s="43">
        <v>-6.0219605700000001</v>
      </c>
      <c r="O28" s="43">
        <v>-6.3402090600000003</v>
      </c>
      <c r="P28" s="43">
        <v>-11</v>
      </c>
      <c r="Q28" s="43">
        <v>-6.5020823799999965</v>
      </c>
      <c r="R28" s="43">
        <v>-8.009772479999997</v>
      </c>
      <c r="S28" s="43">
        <v>-7.9525749999999995</v>
      </c>
      <c r="T28" s="43">
        <v>-9.1727891499999981</v>
      </c>
      <c r="U28" s="43">
        <v>-8.0615386299999994</v>
      </c>
      <c r="V28" s="43">
        <v>-6.9816923099999997</v>
      </c>
      <c r="W28" s="43">
        <v>-7.0422980900000001</v>
      </c>
      <c r="X28" s="43">
        <v>-9.7220474300000017</v>
      </c>
      <c r="Y28" s="43">
        <v>-7.0583630999999993</v>
      </c>
      <c r="Z28" s="43">
        <v>-7.2230401099999986</v>
      </c>
      <c r="AA28" s="43">
        <v>-7.0517470699999993</v>
      </c>
      <c r="AB28" s="43">
        <f>+-10.4942574-AB62</f>
        <v>-9.1196006500000006</v>
      </c>
      <c r="AC28" s="43">
        <f>+-5.57047109-AC62</f>
        <v>-5.0442705099999996</v>
      </c>
      <c r="AD28" s="43">
        <v>-5.9828553699999993</v>
      </c>
      <c r="AE28" s="43">
        <v>-3.9182373899999976</v>
      </c>
      <c r="AF28" s="43">
        <v>-6.08522447</v>
      </c>
      <c r="AG28" s="43">
        <f>+-11.13666763-AG62</f>
        <v>-9.6851536399999993</v>
      </c>
      <c r="AH28" s="43">
        <f>+-10.3069637-AH62</f>
        <v>-10.39199872</v>
      </c>
      <c r="AI28" s="43">
        <f>+-10.66756838-AI62</f>
        <v>-9.15303383</v>
      </c>
      <c r="AJ28" s="43">
        <f>+-8.86662309606035-AJ62</f>
        <v>-8.1298155560603504</v>
      </c>
      <c r="AK28" s="43">
        <f>+-13.7149330412444-AK62</f>
        <v>-11.9634325012444</v>
      </c>
      <c r="AL28" s="43">
        <f>+-14.3817598902411-AL62</f>
        <v>-12.549477400241095</v>
      </c>
      <c r="AM28" s="43">
        <v>-10.8</v>
      </c>
      <c r="AN28" s="43">
        <v>-15.05374818999994</v>
      </c>
      <c r="AO28" s="43">
        <v>-11.531036829999994</v>
      </c>
      <c r="AP28" s="43">
        <v>-11.597439940000083</v>
      </c>
      <c r="AQ28" s="43">
        <v>-11.63</v>
      </c>
      <c r="AR28" s="43">
        <v>-14.44</v>
      </c>
      <c r="AS28" s="43">
        <v>-14.62311044999999</v>
      </c>
      <c r="AT28" s="43">
        <v>-16.014784717743069</v>
      </c>
      <c r="AU28" s="43">
        <v>-13.118692019145115</v>
      </c>
      <c r="AV28" s="43">
        <v>-15.499407698992222</v>
      </c>
      <c r="AW28" s="43">
        <v>-14.787580705413902</v>
      </c>
    </row>
    <row r="29" spans="1:49">
      <c r="A29" s="1">
        <v>23</v>
      </c>
      <c r="B29" s="5" t="s">
        <v>155</v>
      </c>
      <c r="C29" s="63">
        <f>HLOOKUP($C$7,$H$7:$BM$33,$G29,FALSE)</f>
        <v>-41.61037170423436</v>
      </c>
      <c r="D29" s="63">
        <f>HLOOKUP($D$7,$H$7:$BM$33,$G29,FALSE)</f>
        <v>-42.106801747200095</v>
      </c>
      <c r="E29" s="35">
        <f t="shared" si="3"/>
        <v>1.1930439999294995E-2</v>
      </c>
      <c r="G29" s="56">
        <f t="shared" si="0"/>
        <v>23</v>
      </c>
      <c r="H29" s="5" t="s">
        <v>155</v>
      </c>
      <c r="I29" s="43">
        <v>-41.951805570000005</v>
      </c>
      <c r="J29" s="43">
        <v>-46.185509760000002</v>
      </c>
      <c r="K29" s="43">
        <v>-46.341475529999997</v>
      </c>
      <c r="L29" s="43">
        <v>-47.895657579999998</v>
      </c>
      <c r="M29" s="43">
        <v>-47.45246057</v>
      </c>
      <c r="N29" s="43">
        <v>-48.384940369999995</v>
      </c>
      <c r="O29" s="43">
        <v>-48.861872340000005</v>
      </c>
      <c r="P29" s="43">
        <v>-49</v>
      </c>
      <c r="Q29" s="43">
        <v>-47.859028649999999</v>
      </c>
      <c r="R29" s="43">
        <v>-47.103709719999998</v>
      </c>
      <c r="S29" s="43">
        <v>-49.023684110000005</v>
      </c>
      <c r="T29" s="43">
        <v>-52.043309690000001</v>
      </c>
      <c r="U29" s="43">
        <v>-51.537491310000007</v>
      </c>
      <c r="V29" s="43">
        <v>-52.338320930000002</v>
      </c>
      <c r="W29" s="43">
        <v>-51.70911498000001</v>
      </c>
      <c r="X29" s="43">
        <v>-35.670721700000001</v>
      </c>
      <c r="Y29" s="43">
        <v>-50.468340229999995</v>
      </c>
      <c r="Z29" s="43">
        <v>-50.577710360000012</v>
      </c>
      <c r="AA29" s="43">
        <v>-51.21465688</v>
      </c>
      <c r="AB29" s="43">
        <f>+-60.0190398-AB63</f>
        <v>-51.431602030000001</v>
      </c>
      <c r="AC29" s="43">
        <f>+-62.31854023-AC63</f>
        <v>-51.456948539999999</v>
      </c>
      <c r="AD29" s="43">
        <v>-52.281024099999996</v>
      </c>
      <c r="AE29" s="43">
        <v>-52.09153554000001</v>
      </c>
      <c r="AF29" s="43">
        <v>-48.783084410000029</v>
      </c>
      <c r="AG29" s="43">
        <f>+-60.57309273-AG63</f>
        <v>-49.373092729999996</v>
      </c>
      <c r="AH29" s="43">
        <f>+-60.98348462-AH63</f>
        <v>-49.504984109999995</v>
      </c>
      <c r="AI29" s="43">
        <f>+-62.10269554-AI63</f>
        <v>-49.919730049999998</v>
      </c>
      <c r="AJ29" s="43">
        <f>+-62.95540184-AJ63</f>
        <v>-51.263780879999999</v>
      </c>
      <c r="AK29" s="43">
        <f>+-55.4260933129534-AK63</f>
        <v>-46.478154362953397</v>
      </c>
      <c r="AL29" s="43">
        <f>+-52.1342169370466-AL63</f>
        <v>-43.349546447046599</v>
      </c>
      <c r="AM29" s="43">
        <v>-44.2</v>
      </c>
      <c r="AN29" s="43">
        <v>-43.716920891246126</v>
      </c>
      <c r="AO29" s="43">
        <v>-43.999264936535113</v>
      </c>
      <c r="AP29" s="43">
        <v>-46.399168885673078</v>
      </c>
      <c r="AQ29" s="43">
        <v>-45.14</v>
      </c>
      <c r="AR29" s="43">
        <v>-48.246406215271165</v>
      </c>
      <c r="AS29" s="43">
        <v>-41.61037170423436</v>
      </c>
      <c r="AT29" s="43">
        <v>-41.810213123271375</v>
      </c>
      <c r="AU29" s="43">
        <v>-41.64694816039836</v>
      </c>
      <c r="AV29" s="43">
        <v>-45.163429373454527</v>
      </c>
      <c r="AW29" s="43">
        <v>-42.106801747200095</v>
      </c>
    </row>
    <row r="30" spans="1:49">
      <c r="A30" s="1">
        <v>24</v>
      </c>
      <c r="C30" s="92"/>
      <c r="D30" s="92"/>
      <c r="E30" s="39"/>
      <c r="G30" s="56">
        <f t="shared" si="0"/>
        <v>24</v>
      </c>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row>
    <row r="31" spans="1:49">
      <c r="A31" s="1">
        <v>25</v>
      </c>
      <c r="B31" s="102" t="s">
        <v>180</v>
      </c>
      <c r="C31" s="105">
        <f>HLOOKUP($C$7,$H$7:$BM$33,$G31,FALSE)</f>
        <v>125.45029065995817</v>
      </c>
      <c r="D31" s="105">
        <f>HLOOKUP($D$7,$H$7:$BM$33,$G31,FALSE)</f>
        <v>87.539960475844126</v>
      </c>
      <c r="E31" s="106">
        <f t="shared" si="3"/>
        <v>-0.30219404024238306</v>
      </c>
      <c r="G31" s="56">
        <f t="shared" si="0"/>
        <v>25</v>
      </c>
      <c r="H31" s="102" t="s">
        <v>180</v>
      </c>
      <c r="I31" s="103">
        <f t="shared" ref="I31:AE31" si="13">I25+I27+I28+I29</f>
        <v>77.800892900000022</v>
      </c>
      <c r="J31" s="103">
        <f t="shared" si="13"/>
        <v>94.644525479999999</v>
      </c>
      <c r="K31" s="103">
        <f t="shared" si="13"/>
        <v>70.629866509999971</v>
      </c>
      <c r="L31" s="103">
        <f t="shared" si="13"/>
        <v>111.10687665999998</v>
      </c>
      <c r="M31" s="103">
        <f t="shared" si="13"/>
        <v>45.325441340000026</v>
      </c>
      <c r="N31" s="103">
        <f t="shared" si="13"/>
        <v>87.98138193000004</v>
      </c>
      <c r="O31" s="103">
        <f t="shared" si="13"/>
        <v>132.02826607999998</v>
      </c>
      <c r="P31" s="103">
        <f t="shared" si="13"/>
        <v>123.1</v>
      </c>
      <c r="Q31" s="103">
        <f t="shared" si="13"/>
        <v>105.64681671</v>
      </c>
      <c r="R31" s="103">
        <f t="shared" si="13"/>
        <v>94.886658069999967</v>
      </c>
      <c r="S31" s="103">
        <f t="shared" si="13"/>
        <v>57.428472359999958</v>
      </c>
      <c r="T31" s="103">
        <f t="shared" si="13"/>
        <v>91.720371839999956</v>
      </c>
      <c r="U31" s="103">
        <f t="shared" si="13"/>
        <v>91.850211179999945</v>
      </c>
      <c r="V31" s="103">
        <f t="shared" si="13"/>
        <v>95.226815070000015</v>
      </c>
      <c r="W31" s="103">
        <f t="shared" si="13"/>
        <v>108.84562639999996</v>
      </c>
      <c r="X31" s="103">
        <f t="shared" si="13"/>
        <v>151.36591756000004</v>
      </c>
      <c r="Y31" s="103">
        <f t="shared" si="13"/>
        <v>103.18760492000004</v>
      </c>
      <c r="Z31" s="103">
        <f t="shared" si="13"/>
        <v>91.101717910000062</v>
      </c>
      <c r="AA31" s="103">
        <f t="shared" si="13"/>
        <v>97.767246650000033</v>
      </c>
      <c r="AB31" s="103">
        <f t="shared" si="13"/>
        <v>152.02939168000003</v>
      </c>
      <c r="AC31" s="103">
        <f t="shared" si="13"/>
        <v>97.442282880000036</v>
      </c>
      <c r="AD31" s="103">
        <f t="shared" si="13"/>
        <v>103.01522548000003</v>
      </c>
      <c r="AE31" s="103">
        <f t="shared" si="13"/>
        <v>110.64255732000005</v>
      </c>
      <c r="AF31" s="103">
        <f>AF25+AF27+AF28+AF29</f>
        <v>115.16226758131363</v>
      </c>
      <c r="AG31" s="103">
        <f t="shared" ref="AG31:AM31" si="14">AG25+AG27+AG28+AG29</f>
        <v>103.39224389000003</v>
      </c>
      <c r="AH31" s="103">
        <f t="shared" si="14"/>
        <v>92.232737150000005</v>
      </c>
      <c r="AI31" s="103">
        <f t="shared" si="14"/>
        <v>109.40993016999997</v>
      </c>
      <c r="AJ31" s="103">
        <f t="shared" si="14"/>
        <v>112.40512253786805</v>
      </c>
      <c r="AK31" s="103">
        <f t="shared" si="14"/>
        <v>73.942105089472108</v>
      </c>
      <c r="AL31" s="103">
        <f t="shared" si="14"/>
        <v>71.688433377798106</v>
      </c>
      <c r="AM31" s="103">
        <f t="shared" si="14"/>
        <v>-11.968902678896768</v>
      </c>
      <c r="AN31" s="103">
        <f>AN25+AN27+AN28+AN29</f>
        <v>102.37536540577838</v>
      </c>
      <c r="AO31" s="103">
        <f>AO25+AO27+AO28+AO29</f>
        <v>76.584508460742228</v>
      </c>
      <c r="AP31" s="103">
        <f>AP25+AP27+AP28+AP29</f>
        <v>84.69239529886363</v>
      </c>
      <c r="AQ31" s="103">
        <f t="shared" ref="AQ31" si="15">AQ25+AQ27+AQ28+AQ29</f>
        <v>135.23000000000002</v>
      </c>
      <c r="AR31" s="103">
        <f>AR25+AR27+AR28+AR29</f>
        <v>177.41770581794344</v>
      </c>
      <c r="AS31" s="103">
        <f t="shared" ref="AS31:AT31" si="16">AS25+AS27+AS28+AS29</f>
        <v>125.45029065995817</v>
      </c>
      <c r="AT31" s="103">
        <f t="shared" si="16"/>
        <v>92.703825698447105</v>
      </c>
      <c r="AU31" s="103">
        <v>135.54441527933776</v>
      </c>
      <c r="AV31" s="103">
        <f>AV25+AV27+AV28+AV29</f>
        <v>91.470139508802191</v>
      </c>
      <c r="AW31" s="103">
        <f>AW25+AW27+AW28+AW29</f>
        <v>87.539960475844126</v>
      </c>
    </row>
    <row r="32" spans="1:49">
      <c r="A32" s="1">
        <v>26</v>
      </c>
      <c r="B32" s="40"/>
      <c r="C32" s="93"/>
      <c r="D32" s="93"/>
      <c r="E32" s="42"/>
      <c r="G32" s="56">
        <f t="shared" si="0"/>
        <v>26</v>
      </c>
      <c r="H32" s="40"/>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row>
    <row r="33" spans="1:50">
      <c r="A33" s="1">
        <v>27</v>
      </c>
      <c r="B33" s="102" t="s">
        <v>157</v>
      </c>
      <c r="C33" s="105">
        <f>HLOOKUP($C$7,$H$7:$BM$33,$G33,FALSE)</f>
        <v>167.06066236419252</v>
      </c>
      <c r="D33" s="105">
        <f>HLOOKUP($D$7,$H$7:$BM$33,$G33,FALSE)</f>
        <v>129.64676222304422</v>
      </c>
      <c r="E33" s="104">
        <f t="shared" si="3"/>
        <v>-0.22395397942087614</v>
      </c>
      <c r="F33" s="65"/>
      <c r="G33" s="56">
        <f t="shared" si="0"/>
        <v>27</v>
      </c>
      <c r="H33" s="102" t="s">
        <v>157</v>
      </c>
      <c r="I33" s="103">
        <f t="shared" ref="I33:AE33" si="17">I31-I29</f>
        <v>119.75269847000003</v>
      </c>
      <c r="J33" s="103">
        <f t="shared" si="17"/>
        <v>140.83003524</v>
      </c>
      <c r="K33" s="103">
        <f t="shared" si="17"/>
        <v>116.97134203999997</v>
      </c>
      <c r="L33" s="103">
        <f t="shared" si="17"/>
        <v>159.00253423999999</v>
      </c>
      <c r="M33" s="103">
        <f t="shared" si="17"/>
        <v>92.777901910000026</v>
      </c>
      <c r="N33" s="103">
        <f t="shared" si="17"/>
        <v>136.36632230000004</v>
      </c>
      <c r="O33" s="103">
        <f t="shared" si="17"/>
        <v>180.89013841999997</v>
      </c>
      <c r="P33" s="103">
        <f t="shared" si="17"/>
        <v>172.1</v>
      </c>
      <c r="Q33" s="103">
        <f t="shared" si="17"/>
        <v>153.50584536</v>
      </c>
      <c r="R33" s="103">
        <f t="shared" si="17"/>
        <v>141.99036778999996</v>
      </c>
      <c r="S33" s="103">
        <f t="shared" si="17"/>
        <v>106.45215646999996</v>
      </c>
      <c r="T33" s="103">
        <f t="shared" si="17"/>
        <v>143.76368152999996</v>
      </c>
      <c r="U33" s="103">
        <f t="shared" si="17"/>
        <v>143.38770248999995</v>
      </c>
      <c r="V33" s="103">
        <f t="shared" si="17"/>
        <v>147.56513600000002</v>
      </c>
      <c r="W33" s="103">
        <f t="shared" si="17"/>
        <v>160.55474137999997</v>
      </c>
      <c r="X33" s="103">
        <f t="shared" si="17"/>
        <v>187.03663926000004</v>
      </c>
      <c r="Y33" s="103">
        <f t="shared" si="17"/>
        <v>153.65594515000004</v>
      </c>
      <c r="Z33" s="103">
        <f t="shared" si="17"/>
        <v>141.67942827000007</v>
      </c>
      <c r="AA33" s="103">
        <f t="shared" si="17"/>
        <v>148.98190353000004</v>
      </c>
      <c r="AB33" s="103">
        <f t="shared" si="17"/>
        <v>203.46099371000003</v>
      </c>
      <c r="AC33" s="103">
        <f t="shared" si="17"/>
        <v>148.89923142000004</v>
      </c>
      <c r="AD33" s="103">
        <f t="shared" si="17"/>
        <v>155.29624958000002</v>
      </c>
      <c r="AE33" s="103">
        <f t="shared" si="17"/>
        <v>162.73409286000006</v>
      </c>
      <c r="AF33" s="103">
        <f>AF31-AF29</f>
        <v>163.94535199131366</v>
      </c>
      <c r="AG33" s="103">
        <f>172.34723633-AG67</f>
        <v>152.76533661999997</v>
      </c>
      <c r="AH33" s="103">
        <f>155.26443032-AH67</f>
        <v>141.73772126</v>
      </c>
      <c r="AI33" s="103">
        <f>174.98602269-AI67</f>
        <v>159.32966021999999</v>
      </c>
      <c r="AJ33" s="103">
        <f>AJ31-AJ29</f>
        <v>163.66890341786805</v>
      </c>
      <c r="AK33" s="103">
        <f>137.354311322426-AK67</f>
        <v>120.42025945242602</v>
      </c>
      <c r="AL33" s="103">
        <v>115.09148957484453</v>
      </c>
      <c r="AM33" s="103">
        <f>71.84-AM67</f>
        <v>51.977266710000002</v>
      </c>
      <c r="AN33" s="103">
        <v>146.092286297025</v>
      </c>
      <c r="AO33" s="103">
        <f t="shared" ref="AO33:AT33" si="18">AO31-AO29</f>
        <v>120.58377339727734</v>
      </c>
      <c r="AP33" s="103">
        <f t="shared" si="18"/>
        <v>131.09156418453671</v>
      </c>
      <c r="AQ33" s="103">
        <f t="shared" si="18"/>
        <v>180.37</v>
      </c>
      <c r="AR33" s="103">
        <f t="shared" si="18"/>
        <v>225.66411203321462</v>
      </c>
      <c r="AS33" s="103">
        <f t="shared" si="18"/>
        <v>167.06066236419252</v>
      </c>
      <c r="AT33" s="103">
        <f t="shared" si="18"/>
        <v>134.51403882171849</v>
      </c>
      <c r="AU33" s="103">
        <v>177.19136343973611</v>
      </c>
      <c r="AV33" s="103">
        <f>AV31-AV29</f>
        <v>136.63356888225672</v>
      </c>
      <c r="AW33" s="103">
        <f>AW31-AW29</f>
        <v>129.64676222304422</v>
      </c>
    </row>
    <row r="34" spans="1:50">
      <c r="AX34" s="95"/>
    </row>
    <row r="35" spans="1:50">
      <c r="B35" s="142"/>
      <c r="C35" s="142"/>
      <c r="D35" s="142"/>
      <c r="E35" s="142"/>
      <c r="F35" s="142"/>
      <c r="G35" s="142"/>
      <c r="H35" s="142"/>
      <c r="I35" s="142"/>
      <c r="J35" s="142"/>
      <c r="K35" s="142"/>
      <c r="L35" s="142"/>
      <c r="M35" s="142"/>
      <c r="N35" s="142"/>
      <c r="O35" s="142"/>
      <c r="P35" s="142"/>
      <c r="Q35" s="142"/>
      <c r="R35" s="142"/>
      <c r="S35" s="142"/>
      <c r="T35" s="142"/>
      <c r="U35" s="142"/>
      <c r="V35" s="142"/>
      <c r="W35" s="142"/>
      <c r="X35" s="142"/>
      <c r="Y35" s="142"/>
      <c r="Z35" s="142"/>
      <c r="AA35" s="142"/>
      <c r="AB35" s="142"/>
      <c r="AC35" s="142"/>
      <c r="AD35" s="142"/>
      <c r="AE35" s="142"/>
      <c r="AF35" s="142"/>
      <c r="AG35" s="142"/>
      <c r="AH35" s="142"/>
      <c r="AI35" s="142"/>
      <c r="AJ35" s="142"/>
      <c r="AK35" s="142"/>
      <c r="AL35" s="142"/>
      <c r="AM35" s="142"/>
      <c r="AN35" s="142"/>
    </row>
    <row r="36" spans="1:50">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c r="AA36" s="142"/>
      <c r="AB36" s="142"/>
      <c r="AC36" s="142"/>
      <c r="AD36" s="142"/>
      <c r="AE36" s="142"/>
      <c r="AF36" s="142"/>
      <c r="AG36" s="142"/>
      <c r="AH36" s="142"/>
      <c r="AI36" s="142"/>
      <c r="AJ36" s="142"/>
      <c r="AK36" s="142"/>
      <c r="AL36" s="142"/>
      <c r="AM36" s="142"/>
      <c r="AN36" s="142"/>
    </row>
    <row r="37" spans="1:50" ht="28.5" customHeight="1">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c r="AA37" s="142"/>
      <c r="AB37" s="142"/>
      <c r="AC37" s="142"/>
      <c r="AD37" s="142"/>
      <c r="AE37" s="142"/>
      <c r="AF37" s="142"/>
      <c r="AG37" s="142"/>
      <c r="AH37" s="142"/>
      <c r="AI37" s="142"/>
      <c r="AJ37" s="142"/>
      <c r="AK37" s="142"/>
      <c r="AL37" s="142"/>
      <c r="AM37" s="142"/>
      <c r="AN37" s="142"/>
    </row>
    <row r="38" spans="1:50" ht="28.5" customHeight="1">
      <c r="B38" s="71"/>
      <c r="C38" s="71"/>
      <c r="D38" s="71"/>
      <c r="E38" s="81"/>
      <c r="F38" s="71"/>
      <c r="G38" s="94"/>
      <c r="H38" s="71"/>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row>
    <row r="39" spans="1:50" ht="28.5" customHeight="1"/>
    <row r="40" spans="1:50" ht="23.5">
      <c r="B40" s="11" t="s">
        <v>37</v>
      </c>
      <c r="C40" s="12"/>
      <c r="D40" s="12"/>
      <c r="E40" s="12"/>
      <c r="H40" s="11" t="s">
        <v>37</v>
      </c>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row>
    <row r="41" spans="1:50" ht="9" customHeight="1"/>
    <row r="42" spans="1:50">
      <c r="A42" s="1">
        <v>1</v>
      </c>
      <c r="B42" s="100" t="s">
        <v>171</v>
      </c>
      <c r="C42" s="141" t="str">
        <f>C7</f>
        <v>1Q23</v>
      </c>
      <c r="D42" s="141" t="str">
        <f>D7</f>
        <v>1Q24</v>
      </c>
      <c r="E42" s="141" t="s">
        <v>172</v>
      </c>
      <c r="G42" s="56">
        <v>1</v>
      </c>
      <c r="H42" s="100" t="s">
        <v>181</v>
      </c>
      <c r="I42" s="141" t="s">
        <v>77</v>
      </c>
      <c r="J42" s="141" t="s">
        <v>78</v>
      </c>
      <c r="K42" s="141" t="s">
        <v>79</v>
      </c>
      <c r="L42" s="141" t="s">
        <v>80</v>
      </c>
      <c r="M42" s="141" t="s">
        <v>81</v>
      </c>
      <c r="N42" s="141" t="s">
        <v>82</v>
      </c>
      <c r="O42" s="141" t="s">
        <v>83</v>
      </c>
      <c r="P42" s="141" t="s">
        <v>84</v>
      </c>
      <c r="Q42" s="141" t="s">
        <v>85</v>
      </c>
      <c r="R42" s="141" t="s">
        <v>86</v>
      </c>
      <c r="S42" s="141" t="s">
        <v>87</v>
      </c>
      <c r="T42" s="141" t="s">
        <v>88</v>
      </c>
      <c r="U42" s="141" t="s">
        <v>89</v>
      </c>
      <c r="V42" s="141" t="s">
        <v>90</v>
      </c>
      <c r="W42" s="141" t="s">
        <v>91</v>
      </c>
      <c r="X42" s="141" t="s">
        <v>92</v>
      </c>
      <c r="Y42" s="141" t="s">
        <v>93</v>
      </c>
      <c r="Z42" s="141" t="s">
        <v>94</v>
      </c>
      <c r="AA42" s="141" t="s">
        <v>95</v>
      </c>
      <c r="AB42" s="141" t="s">
        <v>96</v>
      </c>
      <c r="AC42" s="141" t="s">
        <v>97</v>
      </c>
      <c r="AD42" s="141" t="s">
        <v>140</v>
      </c>
      <c r="AE42" s="141" t="s">
        <v>182</v>
      </c>
      <c r="AF42" s="141" t="s">
        <v>183</v>
      </c>
      <c r="AG42" s="141" t="s">
        <v>101</v>
      </c>
      <c r="AH42" s="141" t="s">
        <v>102</v>
      </c>
      <c r="AI42" s="141" t="s">
        <v>103</v>
      </c>
      <c r="AJ42" s="141" t="s">
        <v>104</v>
      </c>
      <c r="AK42" s="141" t="s">
        <v>105</v>
      </c>
      <c r="AL42" s="141" t="s">
        <v>106</v>
      </c>
      <c r="AM42" s="141" t="s">
        <v>107</v>
      </c>
      <c r="AN42" s="141" t="s">
        <v>108</v>
      </c>
      <c r="AO42" s="141" t="s">
        <v>109</v>
      </c>
      <c r="AP42" s="141" t="s">
        <v>110</v>
      </c>
      <c r="AQ42" s="141" t="s">
        <v>111</v>
      </c>
      <c r="AR42" s="141" t="s">
        <v>112</v>
      </c>
      <c r="AS42" s="141" t="s">
        <v>73</v>
      </c>
      <c r="AT42" s="141" t="s">
        <v>113</v>
      </c>
      <c r="AU42" s="141" t="s">
        <v>114</v>
      </c>
      <c r="AV42" s="141" t="s">
        <v>115</v>
      </c>
      <c r="AW42" s="141" t="s">
        <v>74</v>
      </c>
    </row>
    <row r="43" spans="1:50">
      <c r="A43" s="1">
        <v>2</v>
      </c>
      <c r="B43" s="100" t="s">
        <v>141</v>
      </c>
      <c r="C43" s="141"/>
      <c r="D43" s="141"/>
      <c r="E43" s="141"/>
      <c r="G43" s="56">
        <f>G42+1</f>
        <v>2</v>
      </c>
      <c r="H43" s="100" t="s">
        <v>141</v>
      </c>
      <c r="I43" s="141"/>
      <c r="J43" s="141"/>
      <c r="K43" s="141"/>
      <c r="L43" s="141"/>
      <c r="M43" s="141"/>
      <c r="N43" s="141"/>
      <c r="O43" s="141"/>
      <c r="P43" s="141"/>
      <c r="Q43" s="141"/>
      <c r="R43" s="141"/>
      <c r="S43" s="141"/>
      <c r="T43" s="141"/>
      <c r="U43" s="141"/>
      <c r="V43" s="141"/>
      <c r="W43" s="141"/>
      <c r="X43" s="141"/>
      <c r="Y43" s="141"/>
      <c r="Z43" s="141"/>
      <c r="AA43" s="141"/>
      <c r="AB43" s="141"/>
      <c r="AC43" s="141" t="s">
        <v>97</v>
      </c>
      <c r="AD43" s="141" t="s">
        <v>97</v>
      </c>
      <c r="AE43" s="141" t="s">
        <v>97</v>
      </c>
      <c r="AF43" s="141" t="s">
        <v>97</v>
      </c>
      <c r="AG43" s="141"/>
      <c r="AH43" s="141"/>
      <c r="AI43" s="141"/>
      <c r="AJ43" s="141" t="s">
        <v>97</v>
      </c>
      <c r="AK43" s="141"/>
      <c r="AL43" s="141"/>
      <c r="AM43" s="141"/>
      <c r="AN43" s="141"/>
      <c r="AO43" s="141"/>
      <c r="AP43" s="141"/>
      <c r="AQ43" s="141"/>
      <c r="AR43" s="141"/>
      <c r="AS43" s="141"/>
      <c r="AT43" s="141"/>
      <c r="AU43" s="141"/>
      <c r="AV43" s="141"/>
      <c r="AW43" s="141"/>
    </row>
    <row r="44" spans="1:50" ht="6.75" customHeight="1">
      <c r="A44" s="1">
        <v>3</v>
      </c>
      <c r="G44" s="56">
        <f t="shared" ref="G44:G67" si="19">G43+1</f>
        <v>3</v>
      </c>
    </row>
    <row r="45" spans="1:50">
      <c r="A45" s="1">
        <v>4</v>
      </c>
      <c r="B45" s="102" t="s">
        <v>171</v>
      </c>
      <c r="C45" s="103">
        <f t="shared" ref="C45:C50" si="20">HLOOKUP($C$42,$H$42:$BF$67,$G45,FALSE)</f>
        <v>59.551101580000008</v>
      </c>
      <c r="D45" s="103">
        <f t="shared" ref="D45:D50" si="21">HLOOKUP($D$42,$H$42:$BF$67,$G45,FALSE)</f>
        <v>50.880384659999997</v>
      </c>
      <c r="E45" s="107">
        <f>D45/C45-1</f>
        <v>-0.14560128511396064</v>
      </c>
      <c r="G45" s="56">
        <f t="shared" si="19"/>
        <v>4</v>
      </c>
      <c r="H45" s="102" t="s">
        <v>171</v>
      </c>
      <c r="I45" s="108"/>
      <c r="J45" s="108"/>
      <c r="K45" s="108"/>
      <c r="L45" s="108"/>
      <c r="M45" s="108"/>
      <c r="N45" s="108"/>
      <c r="O45" s="108"/>
      <c r="P45" s="108"/>
      <c r="Q45" s="103">
        <f t="shared" ref="Q45:X45" si="22">SUM(Q46:Q50)</f>
        <v>55.583655499999999</v>
      </c>
      <c r="R45" s="103">
        <f t="shared" si="22"/>
        <v>54.9629184</v>
      </c>
      <c r="S45" s="103">
        <f t="shared" si="22"/>
        <v>49.082694860000004</v>
      </c>
      <c r="T45" s="103">
        <f t="shared" si="22"/>
        <v>57.097280980000001</v>
      </c>
      <c r="U45" s="103">
        <f t="shared" si="22"/>
        <v>47.636293819999999</v>
      </c>
      <c r="V45" s="103">
        <f t="shared" si="22"/>
        <v>46.971507459999998</v>
      </c>
      <c r="W45" s="103">
        <f t="shared" si="22"/>
        <v>51.493997259999993</v>
      </c>
      <c r="X45" s="103">
        <f t="shared" si="22"/>
        <v>46.735641690000008</v>
      </c>
      <c r="Y45" s="103">
        <f t="shared" ref="Y45:AE45" si="23">SUM(Y46:Y50)</f>
        <v>52.673049919999997</v>
      </c>
      <c r="Z45" s="103">
        <f t="shared" si="23"/>
        <v>52.289317230000002</v>
      </c>
      <c r="AA45" s="103">
        <f t="shared" si="23"/>
        <v>40.085187489999996</v>
      </c>
      <c r="AB45" s="103">
        <f t="shared" si="23"/>
        <v>38.385628109999999</v>
      </c>
      <c r="AC45" s="103">
        <f t="shared" si="23"/>
        <v>41.960275469999999</v>
      </c>
      <c r="AD45" s="103">
        <f t="shared" si="23"/>
        <v>41.306034390000001</v>
      </c>
      <c r="AE45" s="103">
        <f t="shared" si="23"/>
        <v>44.203243349999994</v>
      </c>
      <c r="AF45" s="103">
        <f t="shared" ref="AF45:AM45" si="24">SUM(AF46:AF50)</f>
        <v>47.314848999999995</v>
      </c>
      <c r="AG45" s="103">
        <f t="shared" si="24"/>
        <v>37.681899710000003</v>
      </c>
      <c r="AH45" s="103">
        <f t="shared" si="24"/>
        <v>34.790087870000001</v>
      </c>
      <c r="AI45" s="103">
        <f t="shared" si="24"/>
        <v>42.889557519999997</v>
      </c>
      <c r="AJ45" s="103">
        <f t="shared" si="24"/>
        <v>44.078781450000001</v>
      </c>
      <c r="AK45" s="103">
        <f t="shared" si="24"/>
        <v>37.959551309999995</v>
      </c>
      <c r="AL45" s="103">
        <f t="shared" si="24"/>
        <v>39.865567810000002</v>
      </c>
      <c r="AM45" s="103">
        <f t="shared" si="24"/>
        <v>48.977401450000002</v>
      </c>
      <c r="AN45" s="103">
        <f>SUM(AN46:AN50)</f>
        <v>45.018566209999996</v>
      </c>
      <c r="AO45" s="103">
        <f>SUM(AO46:AO50)</f>
        <v>55.119108129999994</v>
      </c>
      <c r="AP45" s="103">
        <f t="shared" ref="AP45:AR45" si="25">SUM(AP46:AP50)</f>
        <v>52.990921339999993</v>
      </c>
      <c r="AQ45" s="103">
        <f t="shared" si="25"/>
        <v>59.16</v>
      </c>
      <c r="AR45" s="103">
        <f t="shared" si="25"/>
        <v>85.251319180000024</v>
      </c>
      <c r="AS45" s="103">
        <v>59.551101580000008</v>
      </c>
      <c r="AT45" s="103">
        <v>63.674510569999995</v>
      </c>
      <c r="AU45" s="103">
        <f>SUM(AU46:AU51)</f>
        <v>126.55246784000001</v>
      </c>
      <c r="AV45" s="103">
        <v>62.456728449999957</v>
      </c>
      <c r="AW45" s="103">
        <f>SUM(AW46:AW50)</f>
        <v>50.880384659999997</v>
      </c>
    </row>
    <row r="46" spans="1:50">
      <c r="A46" s="1">
        <v>5</v>
      </c>
      <c r="B46" s="5" t="s">
        <v>173</v>
      </c>
      <c r="C46" s="7">
        <f t="shared" si="20"/>
        <v>40.230762770000005</v>
      </c>
      <c r="D46" s="7">
        <f t="shared" si="21"/>
        <v>23.754069259999998</v>
      </c>
      <c r="E46" s="35">
        <f>D46/C46-1</f>
        <v>-0.40955458896460806</v>
      </c>
      <c r="G46" s="56">
        <f t="shared" si="19"/>
        <v>5</v>
      </c>
      <c r="H46" s="5" t="s">
        <v>173</v>
      </c>
      <c r="I46" s="7"/>
      <c r="J46" s="7"/>
      <c r="K46" s="7"/>
      <c r="L46" s="7"/>
      <c r="M46" s="7"/>
      <c r="N46" s="7"/>
      <c r="O46" s="7"/>
      <c r="P46" s="7"/>
      <c r="Q46" s="7">
        <v>32.460313200000002</v>
      </c>
      <c r="R46" s="7">
        <v>29.138366089999998</v>
      </c>
      <c r="S46" s="7">
        <v>28.332158719999999</v>
      </c>
      <c r="T46" s="7">
        <v>29.400125059999997</v>
      </c>
      <c r="U46" s="7">
        <v>30.41764161</v>
      </c>
      <c r="V46" s="7">
        <v>29.193580749999999</v>
      </c>
      <c r="W46" s="7">
        <v>31.344619299999998</v>
      </c>
      <c r="X46" s="7">
        <v>31.739627410000004</v>
      </c>
      <c r="Y46" s="7">
        <v>28.93242343</v>
      </c>
      <c r="Z46" s="7">
        <v>27.544648819999999</v>
      </c>
      <c r="AA46" s="7">
        <v>26.837658909999995</v>
      </c>
      <c r="AB46" s="7">
        <v>23.979617300000001</v>
      </c>
      <c r="AC46" s="7">
        <v>27.59225554</v>
      </c>
      <c r="AD46" s="7">
        <v>27.797825039999999</v>
      </c>
      <c r="AE46" s="7">
        <v>27.159665349999997</v>
      </c>
      <c r="AF46" s="7">
        <v>28.902238430000001</v>
      </c>
      <c r="AG46" s="7">
        <v>29.28596782</v>
      </c>
      <c r="AH46" s="7">
        <v>25.058760310000004</v>
      </c>
      <c r="AI46" s="7">
        <v>26.776863710000001</v>
      </c>
      <c r="AJ46" s="7">
        <v>27.41628996</v>
      </c>
      <c r="AK46" s="7">
        <v>27.355224159999995</v>
      </c>
      <c r="AL46" s="7">
        <v>26.134258350000007</v>
      </c>
      <c r="AM46" s="7">
        <v>24.594859840000002</v>
      </c>
      <c r="AN46" s="7">
        <v>27.170235019999996</v>
      </c>
      <c r="AO46" s="7">
        <v>36.349817639999998</v>
      </c>
      <c r="AP46" s="7">
        <v>35.654689489999996</v>
      </c>
      <c r="AQ46" s="7">
        <v>36.049999999999997</v>
      </c>
      <c r="AR46" s="7">
        <v>38.99920877000001</v>
      </c>
      <c r="AS46" s="7">
        <v>40.230762770000005</v>
      </c>
      <c r="AT46" s="7">
        <v>40.48225747</v>
      </c>
      <c r="AU46" s="7">
        <v>38.098906320000005</v>
      </c>
      <c r="AV46" s="7">
        <v>40.60102521999999</v>
      </c>
      <c r="AW46" s="7">
        <v>23.754069259999998</v>
      </c>
    </row>
    <row r="47" spans="1:50">
      <c r="A47" s="1">
        <v>6</v>
      </c>
      <c r="B47" s="5" t="s">
        <v>174</v>
      </c>
      <c r="C47" s="7">
        <f t="shared" si="20"/>
        <v>15.25510736</v>
      </c>
      <c r="D47" s="7">
        <f t="shared" si="21"/>
        <v>15.194761579999998</v>
      </c>
      <c r="E47" s="35">
        <f t="shared" ref="E47:E50" si="26">D47/C47-1</f>
        <v>-3.9557755036344622E-3</v>
      </c>
      <c r="G47" s="56">
        <f t="shared" si="19"/>
        <v>6</v>
      </c>
      <c r="H47" s="5" t="s">
        <v>174</v>
      </c>
      <c r="I47" s="7"/>
      <c r="J47" s="7"/>
      <c r="K47" s="7"/>
      <c r="L47" s="7"/>
      <c r="M47" s="7"/>
      <c r="N47" s="7"/>
      <c r="O47" s="7"/>
      <c r="P47" s="7"/>
      <c r="Q47" s="7">
        <v>5.6</v>
      </c>
      <c r="R47" s="7">
        <v>6.6</v>
      </c>
      <c r="S47" s="7">
        <v>6.1689418100000006</v>
      </c>
      <c r="T47" s="7">
        <v>0.29570797999999998</v>
      </c>
      <c r="U47" s="7">
        <v>3.9916751399999995</v>
      </c>
      <c r="V47" s="7">
        <v>3.8195686800000002</v>
      </c>
      <c r="W47" s="7">
        <v>3.3034332700000002</v>
      </c>
      <c r="X47" s="7">
        <v>1.5023979999999982E-2</v>
      </c>
      <c r="Y47" s="7">
        <v>7.9133462900000007</v>
      </c>
      <c r="Z47" s="7">
        <v>9.3299704900000009</v>
      </c>
      <c r="AA47" s="7">
        <v>5.3961819800000006</v>
      </c>
      <c r="AB47" s="7">
        <v>6.9740460799999999</v>
      </c>
      <c r="AC47" s="7">
        <v>8.3434991900000011</v>
      </c>
      <c r="AD47" s="7">
        <v>7.6966708700000002</v>
      </c>
      <c r="AE47" s="7">
        <v>8.1598182400000017</v>
      </c>
      <c r="AF47" s="7">
        <v>8.1723705200000012</v>
      </c>
      <c r="AG47" s="7">
        <v>5.4581992300000008</v>
      </c>
      <c r="AH47" s="7">
        <v>4.3626116799999997</v>
      </c>
      <c r="AI47" s="7">
        <v>6.5637490400000003</v>
      </c>
      <c r="AJ47" s="7">
        <v>6.0036959899999989</v>
      </c>
      <c r="AK47" s="7">
        <v>6.59947835</v>
      </c>
      <c r="AL47" s="7">
        <v>5.7830713399999993</v>
      </c>
      <c r="AM47" s="7">
        <v>4.5775767700000021</v>
      </c>
      <c r="AN47" s="7">
        <v>5.6099754299999951</v>
      </c>
      <c r="AO47" s="7">
        <v>4.9982266399999995</v>
      </c>
      <c r="AP47" s="7">
        <v>4.65102745</v>
      </c>
      <c r="AQ47" s="7">
        <v>4.84</v>
      </c>
      <c r="AR47" s="7">
        <v>5.3602715899999991</v>
      </c>
      <c r="AS47" s="7">
        <v>15.25510736</v>
      </c>
      <c r="AT47" s="7">
        <v>19.834535929999998</v>
      </c>
      <c r="AU47" s="7">
        <v>36.487683440000012</v>
      </c>
      <c r="AV47" s="7">
        <v>14.814519709999985</v>
      </c>
      <c r="AW47" s="7">
        <v>15.194761579999998</v>
      </c>
    </row>
    <row r="48" spans="1:50">
      <c r="A48" s="1">
        <v>7</v>
      </c>
      <c r="B48" s="5" t="s">
        <v>175</v>
      </c>
      <c r="C48" s="7">
        <f t="shared" si="20"/>
        <v>1.8207082800000001</v>
      </c>
      <c r="D48" s="7">
        <f t="shared" si="21"/>
        <v>8.55179373</v>
      </c>
      <c r="E48" s="47" t="s">
        <v>132</v>
      </c>
      <c r="G48" s="56">
        <f t="shared" si="19"/>
        <v>7</v>
      </c>
      <c r="H48" s="5" t="s">
        <v>184</v>
      </c>
      <c r="I48" s="7"/>
      <c r="J48" s="7"/>
      <c r="K48" s="7"/>
      <c r="L48" s="7"/>
      <c r="M48" s="7"/>
      <c r="N48" s="7"/>
      <c r="O48" s="7"/>
      <c r="P48" s="7"/>
      <c r="Q48" s="7">
        <v>8.5953532900000003</v>
      </c>
      <c r="R48" s="7">
        <v>6.4017951300000009</v>
      </c>
      <c r="S48" s="7">
        <v>5.7872665799999998</v>
      </c>
      <c r="T48" s="7">
        <v>16.955132990000003</v>
      </c>
      <c r="U48" s="7">
        <v>1.47052644</v>
      </c>
      <c r="V48" s="7">
        <v>3.6616426599999996</v>
      </c>
      <c r="W48" s="7">
        <v>5.7423679999999999</v>
      </c>
      <c r="X48" s="7">
        <v>2.3145004</v>
      </c>
      <c r="Y48" s="7">
        <v>1.47969777</v>
      </c>
      <c r="Z48" s="7">
        <v>3.3943515400000002</v>
      </c>
      <c r="AA48" s="7">
        <v>6.4587246999999994</v>
      </c>
      <c r="AB48" s="7">
        <v>6.2914542299999994</v>
      </c>
      <c r="AC48" s="7">
        <v>4.83443925</v>
      </c>
      <c r="AD48" s="7">
        <v>4.7913998300000005</v>
      </c>
      <c r="AE48" s="7">
        <v>7.3000909399999996</v>
      </c>
      <c r="AF48" s="7">
        <v>3.0115666299999999</v>
      </c>
      <c r="AG48" s="7">
        <v>1.6580831100000002</v>
      </c>
      <c r="AH48" s="7">
        <v>3.9147359100000001</v>
      </c>
      <c r="AI48" s="7">
        <v>8.1863365100000003</v>
      </c>
      <c r="AJ48" s="7">
        <v>9.1388253099999996</v>
      </c>
      <c r="AK48" s="7">
        <v>2.5091850400000002</v>
      </c>
      <c r="AL48" s="7">
        <v>6.7028850899999988</v>
      </c>
      <c r="AM48" s="7">
        <v>18.628417160000001</v>
      </c>
      <c r="AN48" s="7">
        <v>10.470758520000004</v>
      </c>
      <c r="AO48" s="7">
        <v>9.6457732699999994</v>
      </c>
      <c r="AP48" s="7">
        <v>10.922443899999998</v>
      </c>
      <c r="AQ48" s="7">
        <v>16.989999999999998</v>
      </c>
      <c r="AR48" s="7">
        <v>39.128817650000016</v>
      </c>
      <c r="AS48" s="7">
        <v>1.8207082800000001</v>
      </c>
      <c r="AT48" s="7">
        <v>3.0821299999999052E-3</v>
      </c>
      <c r="AU48" s="7">
        <v>50.08581753</v>
      </c>
      <c r="AV48" s="7">
        <v>5.917764819999995</v>
      </c>
      <c r="AW48" s="7">
        <v>8.55179373</v>
      </c>
    </row>
    <row r="49" spans="1:49">
      <c r="A49" s="1">
        <v>8</v>
      </c>
      <c r="B49" s="5" t="s">
        <v>146</v>
      </c>
      <c r="C49" s="87">
        <f t="shared" si="20"/>
        <v>0</v>
      </c>
      <c r="D49" s="87">
        <f t="shared" si="21"/>
        <v>0</v>
      </c>
      <c r="E49" s="47" t="s">
        <v>132</v>
      </c>
      <c r="G49" s="56">
        <f t="shared" si="19"/>
        <v>8</v>
      </c>
      <c r="H49" s="5" t="s">
        <v>146</v>
      </c>
      <c r="I49" s="7"/>
      <c r="J49" s="7"/>
      <c r="K49" s="7"/>
      <c r="L49" s="7"/>
      <c r="M49" s="7"/>
      <c r="N49" s="7"/>
      <c r="O49" s="7"/>
      <c r="P49" s="7"/>
      <c r="Q49" s="7">
        <v>8.9279890099999992</v>
      </c>
      <c r="R49" s="7">
        <v>12.502251830000001</v>
      </c>
      <c r="S49" s="7">
        <v>8.4584802499999991</v>
      </c>
      <c r="T49" s="7">
        <v>10.021971669999997</v>
      </c>
      <c r="U49" s="7">
        <v>10.59247901</v>
      </c>
      <c r="V49" s="7">
        <v>8.9588192499999995</v>
      </c>
      <c r="W49" s="7">
        <v>10.080884190000001</v>
      </c>
      <c r="X49" s="7">
        <v>11.61420582</v>
      </c>
      <c r="Y49" s="7">
        <v>12.948201429999999</v>
      </c>
      <c r="Z49" s="7">
        <v>10.965700719999999</v>
      </c>
      <c r="AA49" s="7">
        <v>0</v>
      </c>
      <c r="AB49" s="7"/>
      <c r="AC49" s="7"/>
      <c r="AD49" s="7"/>
      <c r="AE49" s="7"/>
      <c r="AF49" s="58">
        <v>0</v>
      </c>
      <c r="AG49" s="58">
        <v>0</v>
      </c>
      <c r="AH49" s="58"/>
      <c r="AI49" s="58"/>
      <c r="AJ49" s="58"/>
      <c r="AK49" s="58">
        <v>0</v>
      </c>
      <c r="AL49" s="58">
        <v>0</v>
      </c>
      <c r="AM49" s="58">
        <v>0</v>
      </c>
      <c r="AN49" s="58">
        <v>0</v>
      </c>
      <c r="AO49" s="58">
        <v>0</v>
      </c>
      <c r="AP49" s="58">
        <v>0</v>
      </c>
      <c r="AQ49" s="58">
        <v>0</v>
      </c>
      <c r="AR49" s="58">
        <v>0</v>
      </c>
      <c r="AS49" s="58">
        <v>0</v>
      </c>
      <c r="AT49" s="87" t="s">
        <v>132</v>
      </c>
      <c r="AU49" s="87" t="s">
        <v>132</v>
      </c>
      <c r="AV49" s="87">
        <v>0</v>
      </c>
      <c r="AW49" s="87">
        <v>0</v>
      </c>
    </row>
    <row r="50" spans="1:49">
      <c r="A50" s="1">
        <v>9</v>
      </c>
      <c r="B50" s="5" t="s">
        <v>144</v>
      </c>
      <c r="C50" s="7">
        <f t="shared" si="20"/>
        <v>2.2445231699999999</v>
      </c>
      <c r="D50" s="7">
        <f t="shared" si="21"/>
        <v>3.37976009</v>
      </c>
      <c r="E50" s="35">
        <f t="shared" si="26"/>
        <v>0.50578088708257796</v>
      </c>
      <c r="G50" s="56">
        <f t="shared" si="19"/>
        <v>9</v>
      </c>
      <c r="H50" s="5" t="s">
        <v>144</v>
      </c>
      <c r="I50" s="7"/>
      <c r="J50" s="7"/>
      <c r="K50" s="7"/>
      <c r="L50" s="7"/>
      <c r="M50" s="7"/>
      <c r="N50" s="7"/>
      <c r="O50" s="7"/>
      <c r="P50" s="7"/>
      <c r="Q50" s="7">
        <v>0</v>
      </c>
      <c r="R50" s="7">
        <v>0.32050534999999997</v>
      </c>
      <c r="S50" s="7">
        <v>0.33584750000000002</v>
      </c>
      <c r="T50" s="7">
        <v>0.42434328000000004</v>
      </c>
      <c r="U50" s="7">
        <v>1.1639716200000001</v>
      </c>
      <c r="V50" s="7">
        <v>1.3378961200000001</v>
      </c>
      <c r="W50" s="7">
        <v>1.0226925</v>
      </c>
      <c r="X50" s="7">
        <v>1.0522840800000002</v>
      </c>
      <c r="Y50" s="7">
        <v>1.399381</v>
      </c>
      <c r="Z50" s="7">
        <v>1.0546456599999998</v>
      </c>
      <c r="AA50" s="7">
        <v>1.3926219000000002</v>
      </c>
      <c r="AB50" s="7">
        <v>1.1405105</v>
      </c>
      <c r="AC50" s="7">
        <v>1.1900814900000001</v>
      </c>
      <c r="AD50" s="7">
        <v>1.02013865</v>
      </c>
      <c r="AE50" s="7">
        <v>1.58366882</v>
      </c>
      <c r="AF50" s="7">
        <v>7.2286734200000007</v>
      </c>
      <c r="AG50" s="7">
        <v>1.27964955</v>
      </c>
      <c r="AH50" s="7">
        <v>1.45397997</v>
      </c>
      <c r="AI50" s="7">
        <v>1.36260826</v>
      </c>
      <c r="AJ50" s="7">
        <v>1.51997019</v>
      </c>
      <c r="AK50" s="7">
        <v>1.49566376</v>
      </c>
      <c r="AL50" s="7">
        <v>1.2453530300000002</v>
      </c>
      <c r="AM50" s="7">
        <v>1.1765476799999999</v>
      </c>
      <c r="AN50" s="7">
        <v>1.76759724</v>
      </c>
      <c r="AO50" s="7">
        <v>4.1252905799999997</v>
      </c>
      <c r="AP50" s="7">
        <v>1.7627605000000006</v>
      </c>
      <c r="AQ50" s="7">
        <v>1.28</v>
      </c>
      <c r="AR50" s="7">
        <v>1.76302117</v>
      </c>
      <c r="AS50" s="7">
        <v>2.2445231699999999</v>
      </c>
      <c r="AT50" s="7">
        <v>3.3546350399999998</v>
      </c>
      <c r="AU50" s="7">
        <v>1.8800605500000005</v>
      </c>
      <c r="AV50" s="7">
        <v>1.1234187000000002</v>
      </c>
      <c r="AW50" s="7">
        <v>3.37976009</v>
      </c>
    </row>
    <row r="51" spans="1:49" ht="4.5" customHeight="1">
      <c r="A51" s="1">
        <v>10</v>
      </c>
      <c r="G51" s="56">
        <f t="shared" si="19"/>
        <v>10</v>
      </c>
    </row>
    <row r="52" spans="1:49">
      <c r="A52" s="1">
        <v>11</v>
      </c>
      <c r="B52" s="102" t="s">
        <v>176</v>
      </c>
      <c r="C52" s="103">
        <f t="shared" ref="C52:C57" si="27">HLOOKUP($C$42,$H$42:$BF$67,$G52,FALSE)</f>
        <v>-29.944832589999997</v>
      </c>
      <c r="D52" s="103">
        <f t="shared" ref="D52:D57" si="28">HLOOKUP($D$42,$H$42:$BF$67,$G52,FALSE)</f>
        <v>-28.531815300000002</v>
      </c>
      <c r="E52" s="107">
        <f>D52/C52-1</f>
        <v>-4.7187349795766442E-2</v>
      </c>
      <c r="G52" s="56">
        <f t="shared" si="19"/>
        <v>11</v>
      </c>
      <c r="H52" s="102" t="s">
        <v>176</v>
      </c>
      <c r="I52" s="108"/>
      <c r="J52" s="108"/>
      <c r="K52" s="108"/>
      <c r="L52" s="108"/>
      <c r="M52" s="108"/>
      <c r="N52" s="108"/>
      <c r="O52" s="108"/>
      <c r="P52" s="108"/>
      <c r="Q52" s="103">
        <f t="shared" ref="Q52:X52" si="29">SUM(Q53:Q57)</f>
        <v>-32.306038980000004</v>
      </c>
      <c r="R52" s="103">
        <f t="shared" si="29"/>
        <v>-41.795531619999998</v>
      </c>
      <c r="S52" s="103">
        <f t="shared" si="29"/>
        <v>-30.759452379999999</v>
      </c>
      <c r="T52" s="103">
        <f t="shared" si="29"/>
        <v>-39.480105159999994</v>
      </c>
      <c r="U52" s="103">
        <f t="shared" si="29"/>
        <v>-34.353933659999996</v>
      </c>
      <c r="V52" s="103">
        <f t="shared" si="29"/>
        <v>-33.9733351</v>
      </c>
      <c r="W52" s="103">
        <f t="shared" si="29"/>
        <v>-35.661452799999999</v>
      </c>
      <c r="X52" s="103">
        <f t="shared" si="29"/>
        <v>-37.405603590000005</v>
      </c>
      <c r="Y52" s="103">
        <f t="shared" ref="Y52:AE52" si="30">SUM(Y53:Y57)</f>
        <v>-40.773118190000005</v>
      </c>
      <c r="Z52" s="103">
        <f t="shared" si="30"/>
        <v>-37.811925799999997</v>
      </c>
      <c r="AA52" s="103">
        <f t="shared" si="30"/>
        <v>-30.209554599999997</v>
      </c>
      <c r="AB52" s="103">
        <f>+SUM(AB53:AB57)</f>
        <v>-28.78228824</v>
      </c>
      <c r="AC52" s="103">
        <f t="shared" si="30"/>
        <v>-23.492882950000002</v>
      </c>
      <c r="AD52" s="103">
        <f t="shared" si="30"/>
        <v>-20.57628506</v>
      </c>
      <c r="AE52" s="103">
        <f t="shared" si="30"/>
        <v>-26.275369099999999</v>
      </c>
      <c r="AF52" s="103">
        <f t="shared" ref="AF52:AO52" si="31">SUM(AF53:AF57)</f>
        <v>-25.377440749999998</v>
      </c>
      <c r="AG52" s="103">
        <f t="shared" si="31"/>
        <v>-15.04848601</v>
      </c>
      <c r="AH52" s="103">
        <f t="shared" si="31"/>
        <v>-19.82229126</v>
      </c>
      <c r="AI52" s="103">
        <f t="shared" si="31"/>
        <v>-24.184998679999996</v>
      </c>
      <c r="AJ52" s="103">
        <f t="shared" si="31"/>
        <v>-25.542623639999995</v>
      </c>
      <c r="AK52" s="103">
        <f t="shared" si="31"/>
        <v>-17.433526780000001</v>
      </c>
      <c r="AL52" s="103">
        <f t="shared" si="31"/>
        <v>-22.079148879999995</v>
      </c>
      <c r="AM52" s="103">
        <f t="shared" si="31"/>
        <v>-25.808040840000004</v>
      </c>
      <c r="AN52" s="103">
        <f t="shared" si="31"/>
        <v>-23.148096080000023</v>
      </c>
      <c r="AO52" s="103">
        <f t="shared" si="31"/>
        <v>-25.704476410000002</v>
      </c>
      <c r="AP52" s="103">
        <f t="shared" ref="AP52:AR52" si="32">SUM(AP53:AP57)</f>
        <v>-27.852227609999996</v>
      </c>
      <c r="AQ52" s="103">
        <f t="shared" si="32"/>
        <v>-30.58</v>
      </c>
      <c r="AR52" s="103">
        <f t="shared" si="32"/>
        <v>-46.144247429999979</v>
      </c>
      <c r="AS52" s="103">
        <v>-29.944832589999997</v>
      </c>
      <c r="AT52" s="103">
        <v>-59.333584059999993</v>
      </c>
      <c r="AU52" s="103">
        <v>-72.648754730000036</v>
      </c>
      <c r="AV52" s="103">
        <v>-33.400281579999984</v>
      </c>
      <c r="AW52" s="103">
        <f>SUM(AW53:AW57)</f>
        <v>-28.531815300000002</v>
      </c>
    </row>
    <row r="53" spans="1:49">
      <c r="A53" s="1">
        <v>12</v>
      </c>
      <c r="B53" s="5" t="s">
        <v>146</v>
      </c>
      <c r="C53" s="43">
        <f t="shared" si="27"/>
        <v>-1.01663426</v>
      </c>
      <c r="D53" s="43">
        <f t="shared" si="28"/>
        <v>-1.3168588799999998</v>
      </c>
      <c r="E53" s="35">
        <f t="shared" ref="E53:E57" si="33">D53/C53-1</f>
        <v>0.29531231811920233</v>
      </c>
      <c r="G53" s="56">
        <f t="shared" si="19"/>
        <v>12</v>
      </c>
      <c r="H53" s="5" t="s">
        <v>146</v>
      </c>
      <c r="I53" s="7"/>
      <c r="J53" s="7"/>
      <c r="K53" s="7"/>
      <c r="L53" s="7"/>
      <c r="M53" s="7"/>
      <c r="N53" s="7"/>
      <c r="O53" s="7"/>
      <c r="P53" s="7"/>
      <c r="Q53" s="43">
        <v>-8.6869376099999993</v>
      </c>
      <c r="R53" s="43">
        <v>-10.98468411</v>
      </c>
      <c r="S53" s="43">
        <v>-7.5221053799999993</v>
      </c>
      <c r="T53" s="43">
        <v>-8.4976941799999999</v>
      </c>
      <c r="U53" s="43">
        <v>-8.7930702800000002</v>
      </c>
      <c r="V53" s="43">
        <v>-8.4213767199999996</v>
      </c>
      <c r="W53" s="43">
        <v>-9.6291035800000007</v>
      </c>
      <c r="X53" s="43">
        <v>-10.23718113</v>
      </c>
      <c r="Y53" s="43">
        <v>-10.758186589999999</v>
      </c>
      <c r="Z53" s="43">
        <v>-10.957769000000001</v>
      </c>
      <c r="AA53" s="43">
        <v>-0.66157777000000095</v>
      </c>
      <c r="AB53" s="43"/>
      <c r="AC53" s="43">
        <v>-0.49616329999999997</v>
      </c>
      <c r="AD53" s="43">
        <v>-0.73033623999999997</v>
      </c>
      <c r="AE53" s="43">
        <v>-1.3071812600000001</v>
      </c>
      <c r="AF53" s="43">
        <v>-0.91939967999999994</v>
      </c>
      <c r="AG53" s="43">
        <v>-0.7</v>
      </c>
      <c r="AH53" s="43">
        <v>-2.2193861799999999</v>
      </c>
      <c r="AI53" s="43">
        <v>-1.2449280699999998</v>
      </c>
      <c r="AJ53" s="43">
        <v>-1.1551104400000001</v>
      </c>
      <c r="AK53" s="43">
        <v>-0.42041494000000001</v>
      </c>
      <c r="AL53" s="43">
        <v>-1.3291058100000002</v>
      </c>
      <c r="AM53" s="43">
        <v>-1.4726724600000001</v>
      </c>
      <c r="AN53" s="43">
        <v>-1.450856120000001</v>
      </c>
      <c r="AO53" s="43">
        <v>-1.7283915600000002</v>
      </c>
      <c r="AP53" s="43">
        <v>-1.42084948</v>
      </c>
      <c r="AQ53" s="43">
        <v>-1.32</v>
      </c>
      <c r="AR53" s="43">
        <v>-1.5175163499999991</v>
      </c>
      <c r="AS53" s="43">
        <v>-1.01663426</v>
      </c>
      <c r="AT53" s="43">
        <v>-0.80572697000000004</v>
      </c>
      <c r="AU53" s="43">
        <v>-1.5422476599999999</v>
      </c>
      <c r="AV53" s="43">
        <v>-1.2958125899999999</v>
      </c>
      <c r="AW53" s="43">
        <v>-1.3168588799999998</v>
      </c>
    </row>
    <row r="54" spans="1:49">
      <c r="A54" s="1">
        <v>13</v>
      </c>
      <c r="B54" s="5" t="s">
        <v>147</v>
      </c>
      <c r="C54" s="43">
        <f t="shared" si="27"/>
        <v>-1.6568624199999999</v>
      </c>
      <c r="D54" s="43">
        <f t="shared" si="28"/>
        <v>-1.3389736500000002</v>
      </c>
      <c r="E54" s="35">
        <f t="shared" si="33"/>
        <v>-0.19186189882923399</v>
      </c>
      <c r="G54" s="56">
        <f t="shared" si="19"/>
        <v>13</v>
      </c>
      <c r="H54" s="5" t="s">
        <v>147</v>
      </c>
      <c r="I54" s="7"/>
      <c r="J54" s="7"/>
      <c r="K54" s="7"/>
      <c r="L54" s="7"/>
      <c r="M54" s="7"/>
      <c r="N54" s="7"/>
      <c r="O54" s="7"/>
      <c r="P54" s="7"/>
      <c r="Q54" s="43">
        <v>-2.4822059000000003</v>
      </c>
      <c r="R54" s="43">
        <v>-8.7254282500000002</v>
      </c>
      <c r="S54" s="43">
        <v>-3.1551651900000004</v>
      </c>
      <c r="T54" s="43">
        <v>-1.36595606</v>
      </c>
      <c r="U54" s="43">
        <v>-2.8579380299999997</v>
      </c>
      <c r="V54" s="43">
        <v>-1.42054E-2</v>
      </c>
      <c r="W54" s="43">
        <v>-0.14726351999999998</v>
      </c>
      <c r="X54" s="43">
        <v>-1.8561880000000003E-2</v>
      </c>
      <c r="Y54" s="43">
        <v>-6.3891180600000004</v>
      </c>
      <c r="Z54" s="43">
        <v>-1.296899E-2</v>
      </c>
      <c r="AA54" s="43">
        <v>-0.13729293999999997</v>
      </c>
      <c r="AB54" s="43">
        <v>-3.7507E-3</v>
      </c>
      <c r="AC54" s="43">
        <v>-0.27191003000000002</v>
      </c>
      <c r="AD54" s="43">
        <v>-0.36717951000000004</v>
      </c>
      <c r="AE54" s="43">
        <v>0</v>
      </c>
      <c r="AF54" s="43">
        <v>-0.34991742999999997</v>
      </c>
      <c r="AG54" s="43">
        <v>-1.3</v>
      </c>
      <c r="AH54" s="43">
        <v>-0.48811054999999998</v>
      </c>
      <c r="AI54" s="43">
        <v>-5.9718210000000001E-2</v>
      </c>
      <c r="AJ54" s="43">
        <v>-1.2861E-4</v>
      </c>
      <c r="AK54" s="43">
        <v>-0.38486635999999996</v>
      </c>
      <c r="AL54" s="43">
        <v>-0.80649880999999979</v>
      </c>
      <c r="AM54" s="43">
        <v>-0.45685123999999999</v>
      </c>
      <c r="AN54" s="43">
        <v>-0.10758014000000027</v>
      </c>
      <c r="AO54" s="43">
        <v>-3.98073E-3</v>
      </c>
      <c r="AP54" s="43">
        <v>-2.1264916600000001</v>
      </c>
      <c r="AQ54" s="43">
        <v>-1.25</v>
      </c>
      <c r="AR54" s="43">
        <v>-13.684449099999998</v>
      </c>
      <c r="AS54" s="43">
        <v>-1.6568624199999999</v>
      </c>
      <c r="AT54" s="43">
        <v>-37.991961079999996</v>
      </c>
      <c r="AU54" s="43">
        <v>-32.808770050000021</v>
      </c>
      <c r="AV54" s="43">
        <v>-4.9519673399999817</v>
      </c>
      <c r="AW54" s="43">
        <v>-1.3389736500000002</v>
      </c>
    </row>
    <row r="55" spans="1:49">
      <c r="A55" s="1">
        <v>14</v>
      </c>
      <c r="B55" s="5" t="s">
        <v>148</v>
      </c>
      <c r="C55" s="43">
        <f t="shared" si="27"/>
        <v>-24.293511609999999</v>
      </c>
      <c r="D55" s="43">
        <f t="shared" si="28"/>
        <v>-23.003694660000001</v>
      </c>
      <c r="E55" s="35">
        <f t="shared" si="33"/>
        <v>-5.3093063312801059E-2</v>
      </c>
      <c r="F55" s="51"/>
      <c r="G55" s="56">
        <f t="shared" si="19"/>
        <v>14</v>
      </c>
      <c r="H55" s="5" t="s">
        <v>148</v>
      </c>
      <c r="I55" s="7"/>
      <c r="J55" s="7"/>
      <c r="K55" s="7"/>
      <c r="L55" s="7"/>
      <c r="M55" s="7"/>
      <c r="N55" s="7"/>
      <c r="O55" s="7"/>
      <c r="P55" s="7"/>
      <c r="Q55" s="43">
        <v>-16.863124360000004</v>
      </c>
      <c r="R55" s="43">
        <v>-19.939320459999998</v>
      </c>
      <c r="S55" s="43">
        <v>-17.725214960000002</v>
      </c>
      <c r="T55" s="43">
        <v>-28.326226259999999</v>
      </c>
      <c r="U55" s="43">
        <v>-20.05521062</v>
      </c>
      <c r="V55" s="43">
        <v>-23.011494200000001</v>
      </c>
      <c r="W55" s="43">
        <v>-24.285353650000001</v>
      </c>
      <c r="X55" s="43">
        <v>-24.371911540000003</v>
      </c>
      <c r="Y55" s="43">
        <v>-18.965294759999999</v>
      </c>
      <c r="Z55" s="43">
        <v>-23.6114715</v>
      </c>
      <c r="AA55" s="43">
        <v>-24.548299199999999</v>
      </c>
      <c r="AB55" s="43">
        <v>-25.285733</v>
      </c>
      <c r="AC55" s="43">
        <v>-19.612186380000001</v>
      </c>
      <c r="AD55" s="43">
        <v>-16.17645731</v>
      </c>
      <c r="AE55" s="43">
        <v>-22.237171629999999</v>
      </c>
      <c r="AF55" s="43">
        <v>-20.756213280000001</v>
      </c>
      <c r="AG55" s="43">
        <v>-11.1</v>
      </c>
      <c r="AH55" s="43">
        <v>-14.580119980000001</v>
      </c>
      <c r="AI55" s="43">
        <v>-20.636345499999997</v>
      </c>
      <c r="AJ55" s="43">
        <v>-19.569473139999999</v>
      </c>
      <c r="AK55" s="43">
        <v>-15.12824548</v>
      </c>
      <c r="AL55" s="43">
        <v>-17.254955880000001</v>
      </c>
      <c r="AM55" s="43">
        <v>-21.71192946</v>
      </c>
      <c r="AN55" s="43">
        <v>-19.526062860000014</v>
      </c>
      <c r="AO55" s="43">
        <v>-21.88420558</v>
      </c>
      <c r="AP55" s="43">
        <v>-22.164677079999997</v>
      </c>
      <c r="AQ55" s="43">
        <v>-25.5</v>
      </c>
      <c r="AR55" s="43">
        <v>-25.822281979999985</v>
      </c>
      <c r="AS55" s="43">
        <v>-24.293511609999999</v>
      </c>
      <c r="AT55" s="43">
        <v>-16.40986096</v>
      </c>
      <c r="AU55" s="43">
        <v>-26.612560300000016</v>
      </c>
      <c r="AV55" s="43">
        <v>-23.998477999999988</v>
      </c>
      <c r="AW55" s="43">
        <v>-23.003694660000001</v>
      </c>
    </row>
    <row r="56" spans="1:49">
      <c r="A56" s="1">
        <v>15</v>
      </c>
      <c r="B56" s="5" t="s">
        <v>149</v>
      </c>
      <c r="C56" s="63">
        <f t="shared" si="27"/>
        <v>0</v>
      </c>
      <c r="D56" s="63">
        <f t="shared" si="28"/>
        <v>-2.3849499999999999E-2</v>
      </c>
      <c r="E56" s="47" t="s">
        <v>132</v>
      </c>
      <c r="G56" s="56">
        <f t="shared" si="19"/>
        <v>15</v>
      </c>
      <c r="H56" s="5" t="s">
        <v>149</v>
      </c>
      <c r="I56" s="7"/>
      <c r="J56" s="7"/>
      <c r="K56" s="7"/>
      <c r="L56" s="7"/>
      <c r="M56" s="7"/>
      <c r="N56" s="7"/>
      <c r="O56" s="7"/>
      <c r="P56" s="7"/>
      <c r="Q56" s="43"/>
      <c r="R56" s="43"/>
      <c r="S56" s="43"/>
      <c r="T56" s="43"/>
      <c r="U56" s="43"/>
      <c r="V56" s="43"/>
      <c r="W56" s="43"/>
      <c r="X56" s="43"/>
      <c r="Y56" s="43"/>
      <c r="Z56" s="43"/>
      <c r="AA56" s="43">
        <v>-1.3596464999999998</v>
      </c>
      <c r="AB56" s="43">
        <v>0</v>
      </c>
      <c r="AC56" s="43">
        <v>0</v>
      </c>
      <c r="AD56" s="43">
        <v>0</v>
      </c>
      <c r="AE56" s="43">
        <v>0</v>
      </c>
      <c r="AF56" s="43">
        <v>0</v>
      </c>
      <c r="AG56" s="43">
        <v>0</v>
      </c>
      <c r="AH56" s="43">
        <v>0</v>
      </c>
      <c r="AI56" s="43">
        <v>0</v>
      </c>
      <c r="AJ56" s="43">
        <v>-0.91938023999999996</v>
      </c>
      <c r="AK56" s="43">
        <v>0</v>
      </c>
      <c r="AL56" s="43">
        <v>-0.27632070000000003</v>
      </c>
      <c r="AM56" s="63">
        <v>0</v>
      </c>
      <c r="AN56" s="63">
        <v>0</v>
      </c>
      <c r="AO56" s="63">
        <v>0</v>
      </c>
      <c r="AP56" s="63">
        <v>-3.5201690000000001E-2</v>
      </c>
      <c r="AQ56" s="63">
        <v>0</v>
      </c>
      <c r="AR56" s="63">
        <v>0</v>
      </c>
      <c r="AS56" s="63">
        <v>0</v>
      </c>
      <c r="AT56" s="63" t="s">
        <v>132</v>
      </c>
      <c r="AU56" s="63">
        <v>-3.37775392</v>
      </c>
      <c r="AV56" s="63">
        <v>1.9641400000001141E-3</v>
      </c>
      <c r="AW56" s="63">
        <v>-2.3849499999999999E-2</v>
      </c>
    </row>
    <row r="57" spans="1:49">
      <c r="A57" s="1">
        <v>16</v>
      </c>
      <c r="B57" s="5" t="s">
        <v>177</v>
      </c>
      <c r="C57" s="43">
        <f t="shared" si="27"/>
        <v>-2.9778242999999995</v>
      </c>
      <c r="D57" s="43">
        <f t="shared" si="28"/>
        <v>-2.8484386099999992</v>
      </c>
      <c r="E57" s="35">
        <f t="shared" si="33"/>
        <v>-4.3449739462466108E-2</v>
      </c>
      <c r="G57" s="56">
        <f t="shared" si="19"/>
        <v>16</v>
      </c>
      <c r="H57" s="5" t="s">
        <v>177</v>
      </c>
      <c r="I57" s="7"/>
      <c r="J57" s="7"/>
      <c r="K57" s="7"/>
      <c r="L57" s="7"/>
      <c r="M57" s="7"/>
      <c r="N57" s="7"/>
      <c r="O57" s="7"/>
      <c r="P57" s="7"/>
      <c r="Q57" s="43">
        <v>-4.2737711100000002</v>
      </c>
      <c r="R57" s="43">
        <v>-2.1460987999999999</v>
      </c>
      <c r="S57" s="43">
        <v>-2.3569668500000001</v>
      </c>
      <c r="T57" s="43">
        <v>-1.2902286600000001</v>
      </c>
      <c r="U57" s="43">
        <v>-2.6477147300000001</v>
      </c>
      <c r="V57" s="43">
        <v>-2.5262587800000005</v>
      </c>
      <c r="W57" s="43">
        <v>-1.5997320500000001</v>
      </c>
      <c r="X57" s="43">
        <v>-2.7779490399999998</v>
      </c>
      <c r="Y57" s="43">
        <v>-4.6605187800000003</v>
      </c>
      <c r="Z57" s="43">
        <v>-3.2297163100000006</v>
      </c>
      <c r="AA57" s="43">
        <v>-3.5027381900000001</v>
      </c>
      <c r="AB57" s="43">
        <v>-3.4928045399999998</v>
      </c>
      <c r="AC57" s="43">
        <v>-3.11262324</v>
      </c>
      <c r="AD57" s="43">
        <v>-3.3023120000000001</v>
      </c>
      <c r="AE57" s="43">
        <v>-2.7310162099999999</v>
      </c>
      <c r="AF57" s="43">
        <v>-3.3519103599999998</v>
      </c>
      <c r="AG57" s="43">
        <v>-1.9484860099999997</v>
      </c>
      <c r="AH57" s="43">
        <v>-2.5346745500000001</v>
      </c>
      <c r="AI57" s="43">
        <v>-2.2440068999999996</v>
      </c>
      <c r="AJ57" s="43">
        <v>-3.8985312099999998</v>
      </c>
      <c r="AK57" s="43">
        <v>-1.5</v>
      </c>
      <c r="AL57" s="43">
        <v>-2.4122676799999958</v>
      </c>
      <c r="AM57" s="43">
        <v>-2.1665876800000046</v>
      </c>
      <c r="AN57" s="43">
        <v>-2.0635969600000101</v>
      </c>
      <c r="AO57" s="43">
        <v>-2.0878985400000003</v>
      </c>
      <c r="AP57" s="43">
        <v>-2.1050076999999972</v>
      </c>
      <c r="AQ57" s="43">
        <v>-2.5099999999999998</v>
      </c>
      <c r="AR57" s="43">
        <v>-5.12</v>
      </c>
      <c r="AS57" s="43">
        <v>-2.9778242999999995</v>
      </c>
      <c r="AT57" s="43">
        <v>-4.1260350499999969</v>
      </c>
      <c r="AU57" s="43">
        <v>-8.3074228000000137</v>
      </c>
      <c r="AV57" s="43">
        <v>-3.155987789999994</v>
      </c>
      <c r="AW57" s="43">
        <v>-2.8484386099999992</v>
      </c>
    </row>
    <row r="58" spans="1:49" ht="4.5" customHeight="1">
      <c r="A58" s="1">
        <v>17</v>
      </c>
      <c r="C58" s="32"/>
      <c r="D58" s="32"/>
      <c r="E58" s="32"/>
      <c r="G58" s="56">
        <f t="shared" si="19"/>
        <v>17</v>
      </c>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row>
    <row r="59" spans="1:49">
      <c r="A59" s="1">
        <v>18</v>
      </c>
      <c r="B59" s="102" t="s">
        <v>178</v>
      </c>
      <c r="C59" s="103">
        <f>HLOOKUP($C$42,$H$42:$BF$67,$G59,FALSE)</f>
        <v>29.606268990000011</v>
      </c>
      <c r="D59" s="103">
        <f>HLOOKUP($D$42,$H$42:$BF$67,$G59,FALSE)</f>
        <v>22.348569359999995</v>
      </c>
      <c r="E59" s="104">
        <f>D59/C59-1</f>
        <v>-0.24514063668243435</v>
      </c>
      <c r="G59" s="56">
        <f t="shared" si="19"/>
        <v>18</v>
      </c>
      <c r="H59" s="102" t="s">
        <v>178</v>
      </c>
      <c r="I59" s="108"/>
      <c r="J59" s="108"/>
      <c r="K59" s="108"/>
      <c r="L59" s="108"/>
      <c r="M59" s="108"/>
      <c r="N59" s="108"/>
      <c r="O59" s="108"/>
      <c r="P59" s="108"/>
      <c r="Q59" s="103">
        <f t="shared" ref="Q59:X59" si="34">Q52+Q45</f>
        <v>23.277616519999995</v>
      </c>
      <c r="R59" s="103">
        <f t="shared" si="34"/>
        <v>13.167386780000001</v>
      </c>
      <c r="S59" s="103">
        <f t="shared" si="34"/>
        <v>18.323242480000005</v>
      </c>
      <c r="T59" s="103">
        <f t="shared" si="34"/>
        <v>17.617175820000007</v>
      </c>
      <c r="U59" s="103">
        <f t="shared" si="34"/>
        <v>13.282360160000003</v>
      </c>
      <c r="V59" s="103">
        <f t="shared" si="34"/>
        <v>12.998172359999998</v>
      </c>
      <c r="W59" s="103">
        <f t="shared" si="34"/>
        <v>15.832544459999994</v>
      </c>
      <c r="X59" s="103">
        <f t="shared" si="34"/>
        <v>9.330038100000003</v>
      </c>
      <c r="Y59" s="103">
        <f t="shared" ref="Y59:AE59" si="35">Y52+Y45</f>
        <v>11.899931729999992</v>
      </c>
      <c r="Z59" s="103">
        <f t="shared" si="35"/>
        <v>14.477391430000004</v>
      </c>
      <c r="AA59" s="103">
        <f t="shared" si="35"/>
        <v>9.8756328899999986</v>
      </c>
      <c r="AB59" s="103">
        <f t="shared" si="35"/>
        <v>9.6033398699999992</v>
      </c>
      <c r="AC59" s="103">
        <f t="shared" si="35"/>
        <v>18.467392519999997</v>
      </c>
      <c r="AD59" s="103">
        <f t="shared" si="35"/>
        <v>20.729749330000001</v>
      </c>
      <c r="AE59" s="103">
        <f t="shared" si="35"/>
        <v>17.927874249999995</v>
      </c>
      <c r="AF59" s="103">
        <f t="shared" ref="AF59:AQ59" si="36">AF52+AF45</f>
        <v>21.937408249999997</v>
      </c>
      <c r="AG59" s="103">
        <f t="shared" si="36"/>
        <v>22.633413700000006</v>
      </c>
      <c r="AH59" s="103">
        <f t="shared" si="36"/>
        <v>14.967796610000001</v>
      </c>
      <c r="AI59" s="103">
        <f t="shared" si="36"/>
        <v>18.704558840000001</v>
      </c>
      <c r="AJ59" s="103">
        <f t="shared" si="36"/>
        <v>18.536157810000006</v>
      </c>
      <c r="AK59" s="103">
        <f t="shared" si="36"/>
        <v>20.526024529999994</v>
      </c>
      <c r="AL59" s="103">
        <f t="shared" si="36"/>
        <v>17.786418930000007</v>
      </c>
      <c r="AM59" s="103">
        <f t="shared" si="36"/>
        <v>23.169360609999998</v>
      </c>
      <c r="AN59" s="103">
        <f t="shared" si="36"/>
        <v>21.870470129999973</v>
      </c>
      <c r="AO59" s="103">
        <f t="shared" si="36"/>
        <v>29.414631719999992</v>
      </c>
      <c r="AP59" s="103">
        <f t="shared" ref="AP59:AS59" si="37">AP52+AP45</f>
        <v>25.138693729999996</v>
      </c>
      <c r="AQ59" s="103">
        <f t="shared" si="36"/>
        <v>28.58</v>
      </c>
      <c r="AR59" s="103">
        <f t="shared" si="37"/>
        <v>39.107071750000046</v>
      </c>
      <c r="AS59" s="103">
        <f t="shared" si="37"/>
        <v>29.606268990000011</v>
      </c>
      <c r="AT59" s="103">
        <v>4.3409265100000027</v>
      </c>
      <c r="AU59" s="103">
        <v>53.90371310999997</v>
      </c>
      <c r="AV59" s="103">
        <v>29.056446869999988</v>
      </c>
      <c r="AW59" s="103">
        <f>AW45+AW52</f>
        <v>22.348569359999995</v>
      </c>
    </row>
    <row r="60" spans="1:49" ht="4.5" customHeight="1">
      <c r="A60" s="1">
        <v>19</v>
      </c>
      <c r="C60" s="32"/>
      <c r="D60" s="32"/>
      <c r="E60" s="32"/>
      <c r="G60" s="56">
        <f t="shared" si="19"/>
        <v>19</v>
      </c>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row>
    <row r="61" spans="1:49">
      <c r="A61" s="1">
        <v>20</v>
      </c>
      <c r="B61" s="5" t="s">
        <v>153</v>
      </c>
      <c r="C61" s="43">
        <f>HLOOKUP($C$42,$H$42:$BF$67,$G61,FALSE)</f>
        <v>-2.5182996399999995</v>
      </c>
      <c r="D61" s="43">
        <f>HLOOKUP($D$42,$H$42:$BF$67,$G61,FALSE)</f>
        <v>-2.4611371000000002</v>
      </c>
      <c r="E61" s="35">
        <f>D61/C61-1</f>
        <v>-2.2698863587177986E-2</v>
      </c>
      <c r="F61" s="51"/>
      <c r="G61" s="56">
        <f t="shared" si="19"/>
        <v>20</v>
      </c>
      <c r="H61" s="5" t="s">
        <v>153</v>
      </c>
      <c r="I61" s="7"/>
      <c r="J61" s="7"/>
      <c r="K61" s="7"/>
      <c r="L61" s="7"/>
      <c r="M61" s="7"/>
      <c r="N61" s="7"/>
      <c r="O61" s="7"/>
      <c r="P61" s="7"/>
      <c r="Q61" s="43">
        <v>-1.9020556099999997</v>
      </c>
      <c r="R61" s="43">
        <v>-0.95662959000000014</v>
      </c>
      <c r="S61" s="43">
        <v>-1.38904001</v>
      </c>
      <c r="T61" s="43">
        <v>-1.64653396</v>
      </c>
      <c r="U61" s="43">
        <v>-1.35093598</v>
      </c>
      <c r="V61" s="43">
        <v>-1.4034176600000001</v>
      </c>
      <c r="W61" s="43">
        <v>-1.39107256</v>
      </c>
      <c r="X61" s="43">
        <v>-1.7022323799999999</v>
      </c>
      <c r="Y61" s="43">
        <v>-1.4411471600000001</v>
      </c>
      <c r="Z61" s="43">
        <v>-1.51758236</v>
      </c>
      <c r="AA61" s="43">
        <v>-1.6644289400000001</v>
      </c>
      <c r="AB61" s="43">
        <v>-1.50439375</v>
      </c>
      <c r="AC61" s="43">
        <v>-1.4640062700000001</v>
      </c>
      <c r="AD61" s="43">
        <v>-1.6127271700000001</v>
      </c>
      <c r="AE61" s="43">
        <v>-1.1963248800000001</v>
      </c>
      <c r="AF61" s="43">
        <v>-1.91541703</v>
      </c>
      <c r="AG61" s="43">
        <v>-1.6</v>
      </c>
      <c r="AH61" s="43">
        <v>-1.5261225700000001</v>
      </c>
      <c r="AI61" s="43">
        <v>-1.5336618200000003</v>
      </c>
      <c r="AJ61" s="43">
        <v>-1.5264548799999997</v>
      </c>
      <c r="AK61" s="43">
        <v>-1.84047212</v>
      </c>
      <c r="AL61" s="43">
        <v>-1.4989665900000009</v>
      </c>
      <c r="AM61" s="43">
        <v>-1.5633669299999993</v>
      </c>
      <c r="AN61" s="43">
        <v>-1.4798497800000001</v>
      </c>
      <c r="AO61" s="43">
        <v>-2.6075955300000002</v>
      </c>
      <c r="AP61" s="43">
        <v>-1.6545121499999995</v>
      </c>
      <c r="AQ61" s="43">
        <v>-1.8</v>
      </c>
      <c r="AR61" s="43">
        <v>-2.7767341100000014</v>
      </c>
      <c r="AS61" s="43">
        <v>-2.5182996399999995</v>
      </c>
      <c r="AT61" s="43">
        <v>-2.2287493600000001</v>
      </c>
      <c r="AU61" s="43">
        <v>-2.718582650000001</v>
      </c>
      <c r="AV61" s="43">
        <v>-2.3906201699999965</v>
      </c>
      <c r="AW61" s="43">
        <v>-2.4611371000000002</v>
      </c>
    </row>
    <row r="62" spans="1:49">
      <c r="A62" s="1">
        <v>21</v>
      </c>
      <c r="B62" s="5" t="s">
        <v>179</v>
      </c>
      <c r="C62" s="43">
        <f>HLOOKUP($C$42,$H$42:$BF$67,$G62,FALSE)</f>
        <v>-2.0820181900000003</v>
      </c>
      <c r="D62" s="43">
        <f>HLOOKUP($D$42,$H$42:$BF$67,$G62,FALSE)</f>
        <v>-2.3261712200000009</v>
      </c>
      <c r="E62" s="47">
        <f>D62/C62-1</f>
        <v>0.11726748170245349</v>
      </c>
      <c r="G62" s="56">
        <f t="shared" si="19"/>
        <v>21</v>
      </c>
      <c r="H62" s="5" t="s">
        <v>179</v>
      </c>
      <c r="I62" s="7"/>
      <c r="J62" s="7"/>
      <c r="K62" s="7"/>
      <c r="L62" s="7"/>
      <c r="M62" s="7"/>
      <c r="N62" s="7"/>
      <c r="O62" s="7"/>
      <c r="P62" s="7"/>
      <c r="Q62" s="43">
        <v>-4.6529306799999999</v>
      </c>
      <c r="R62" s="43">
        <v>-3.0893527200000004</v>
      </c>
      <c r="S62" s="43">
        <v>-0.84189764999999994</v>
      </c>
      <c r="T62" s="43">
        <v>-1.86806512</v>
      </c>
      <c r="U62" s="43">
        <v>-0.51768802999999997</v>
      </c>
      <c r="V62" s="43">
        <v>-0.68306328000000005</v>
      </c>
      <c r="W62" s="43">
        <v>-0.97182712999999998</v>
      </c>
      <c r="X62" s="43">
        <v>10.162852590000002</v>
      </c>
      <c r="Y62" s="43">
        <v>-0.53674665999999993</v>
      </c>
      <c r="Z62" s="43">
        <v>-0.63847730999999985</v>
      </c>
      <c r="AA62" s="43">
        <v>-0.85316294999999986</v>
      </c>
      <c r="AB62" s="43">
        <v>-1.3746567500000002</v>
      </c>
      <c r="AC62" s="43">
        <v>-0.52620058000000003</v>
      </c>
      <c r="AD62" s="43">
        <v>-0.64479643999999992</v>
      </c>
      <c r="AE62" s="43">
        <v>-0.74230715999999985</v>
      </c>
      <c r="AF62" s="43">
        <v>-1.0305582499999997</v>
      </c>
      <c r="AG62" s="43">
        <v>-1.45151399</v>
      </c>
      <c r="AH62" s="43">
        <v>8.5035019999999961E-2</v>
      </c>
      <c r="AI62" s="43">
        <v>-1.51453455</v>
      </c>
      <c r="AJ62" s="43">
        <v>-0.73680754000000004</v>
      </c>
      <c r="AK62" s="43">
        <v>-1.7515005400000001</v>
      </c>
      <c r="AL62" s="43">
        <v>-1.8322824900000034</v>
      </c>
      <c r="AM62" s="43">
        <v>-1.743260389999995</v>
      </c>
      <c r="AN62" s="43">
        <v>-2.1114044399999914</v>
      </c>
      <c r="AO62" s="43">
        <v>-1.90847655</v>
      </c>
      <c r="AP62" s="43">
        <v>-1.7346318800000025</v>
      </c>
      <c r="AQ62" s="43">
        <v>-2.04</v>
      </c>
      <c r="AR62" s="43">
        <v>-2.58</v>
      </c>
      <c r="AS62" s="43">
        <v>-2.0820181900000003</v>
      </c>
      <c r="AT62" s="43">
        <v>-1.9247170300000018</v>
      </c>
      <c r="AU62" s="43">
        <v>-2.3285413199999887</v>
      </c>
      <c r="AV62" s="43">
        <v>-2.5828295200000042</v>
      </c>
      <c r="AW62" s="43">
        <v>-2.3261712200000009</v>
      </c>
    </row>
    <row r="63" spans="1:49">
      <c r="A63" s="1">
        <v>22</v>
      </c>
      <c r="B63" s="5" t="s">
        <v>155</v>
      </c>
      <c r="C63" s="43">
        <f>HLOOKUP($C$42,$H$42:$BF$67,$G63,FALSE)</f>
        <v>-8.9631001000000001</v>
      </c>
      <c r="D63" s="43">
        <f>HLOOKUP($D$42,$H$42:$BF$67,$G63,FALSE)</f>
        <v>-8.8326947100000002</v>
      </c>
      <c r="E63" s="35">
        <f t="shared" ref="E63" si="38">D63/C63-1</f>
        <v>-1.4549139086374785E-2</v>
      </c>
      <c r="G63" s="56">
        <f t="shared" si="19"/>
        <v>22</v>
      </c>
      <c r="H63" s="5" t="s">
        <v>155</v>
      </c>
      <c r="I63" s="7"/>
      <c r="J63" s="7"/>
      <c r="K63" s="7"/>
      <c r="L63" s="7"/>
      <c r="M63" s="7"/>
      <c r="N63" s="7"/>
      <c r="O63" s="7"/>
      <c r="P63" s="7"/>
      <c r="Q63" s="43">
        <v>-7.9848667500000001</v>
      </c>
      <c r="R63" s="43">
        <v>-7.9488865200000003</v>
      </c>
      <c r="S63" s="43">
        <v>-7.9521240000000013</v>
      </c>
      <c r="T63" s="43">
        <v>-8.0023987100000014</v>
      </c>
      <c r="U63" s="43">
        <v>-8.0354829599999995</v>
      </c>
      <c r="V63" s="43">
        <v>-8.0330798399999992</v>
      </c>
      <c r="W63" s="43">
        <v>-7.8220839199999972</v>
      </c>
      <c r="X63" s="43">
        <v>-8.3412998900000002</v>
      </c>
      <c r="Y63" s="43">
        <v>-8.1506856200000009</v>
      </c>
      <c r="Z63" s="43">
        <v>-8.2453212299999983</v>
      </c>
      <c r="AA63" s="43">
        <v>-8.2788340199999997</v>
      </c>
      <c r="AB63" s="43">
        <v>-8.5874377700000011</v>
      </c>
      <c r="AC63" s="43">
        <v>-10.861591690000001</v>
      </c>
      <c r="AD63" s="43">
        <v>-11.416930089999997</v>
      </c>
      <c r="AE63" s="43">
        <v>-11.762001100000001</v>
      </c>
      <c r="AF63" s="43">
        <v>-11.893788960000002</v>
      </c>
      <c r="AG63" s="43">
        <v>-11.2</v>
      </c>
      <c r="AH63" s="43">
        <v>-11.47850051</v>
      </c>
      <c r="AI63" s="43">
        <v>-12.182965490000001</v>
      </c>
      <c r="AJ63" s="43">
        <v>-11.69162096</v>
      </c>
      <c r="AK63" s="43">
        <v>-8.9479389499999993</v>
      </c>
      <c r="AL63" s="43">
        <v>-8.7846704900000017</v>
      </c>
      <c r="AM63" s="43">
        <v>-8.78027041</v>
      </c>
      <c r="AN63" s="43">
        <v>-8.9347689600000049</v>
      </c>
      <c r="AO63" s="43">
        <v>-8.8220456100000018</v>
      </c>
      <c r="AP63" s="43">
        <v>-8.8828295999999956</v>
      </c>
      <c r="AQ63" s="43">
        <v>-8.8800000000000008</v>
      </c>
      <c r="AR63" s="43">
        <v>-9.1460913999999978</v>
      </c>
      <c r="AS63" s="43">
        <v>-8.9631001000000001</v>
      </c>
      <c r="AT63" s="43">
        <v>-8.5275508599999998</v>
      </c>
      <c r="AU63" s="43">
        <v>-8.2351071599999965</v>
      </c>
      <c r="AV63" s="43">
        <v>-9.9244432700000136</v>
      </c>
      <c r="AW63" s="43">
        <v>-8.8326947100000002</v>
      </c>
    </row>
    <row r="64" spans="1:49" ht="4.5" customHeight="1">
      <c r="A64" s="1">
        <v>23</v>
      </c>
      <c r="C64" s="32"/>
      <c r="D64" s="32"/>
      <c r="E64" s="32"/>
      <c r="G64" s="56">
        <f t="shared" si="19"/>
        <v>23</v>
      </c>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row>
    <row r="65" spans="1:49">
      <c r="A65" s="1">
        <v>24</v>
      </c>
      <c r="B65" s="102" t="s">
        <v>180</v>
      </c>
      <c r="C65" s="103">
        <f>HLOOKUP($C$42,$H$42:$BF$67,$G65,FALSE)</f>
        <v>16.042851060000011</v>
      </c>
      <c r="D65" s="103">
        <f>HLOOKUP($D$42,$H$42:$BF$67,$G65,FALSE)</f>
        <v>8.7285663299999978</v>
      </c>
      <c r="E65" s="105">
        <f>D65/C65-1</f>
        <v>-0.45592174998350998</v>
      </c>
      <c r="G65" s="56">
        <f t="shared" si="19"/>
        <v>24</v>
      </c>
      <c r="H65" s="102" t="s">
        <v>180</v>
      </c>
      <c r="I65" s="108"/>
      <c r="J65" s="108"/>
      <c r="K65" s="108"/>
      <c r="L65" s="108"/>
      <c r="M65" s="108"/>
      <c r="N65" s="108"/>
      <c r="O65" s="108"/>
      <c r="P65" s="108"/>
      <c r="Q65" s="103">
        <f t="shared" ref="Q65:W65" si="39">Q59+Q61+Q62+Q63</f>
        <v>8.7377634799999964</v>
      </c>
      <c r="R65" s="103">
        <f t="shared" si="39"/>
        <v>1.1725179499999996</v>
      </c>
      <c r="S65" s="103">
        <f t="shared" si="39"/>
        <v>8.1401808200000048</v>
      </c>
      <c r="T65" s="103">
        <f t="shared" si="39"/>
        <v>6.1001780300000057</v>
      </c>
      <c r="U65" s="103">
        <f t="shared" si="39"/>
        <v>3.3782531900000041</v>
      </c>
      <c r="V65" s="103">
        <f t="shared" si="39"/>
        <v>2.8786115799999976</v>
      </c>
      <c r="W65" s="103">
        <f t="shared" si="39"/>
        <v>5.6475608499999979</v>
      </c>
      <c r="X65" s="103">
        <f t="shared" ref="X65:Y65" si="40">X59+X61+X62+X63</f>
        <v>9.4493584200000047</v>
      </c>
      <c r="Y65" s="103">
        <f t="shared" si="40"/>
        <v>1.7713522899999905</v>
      </c>
      <c r="Z65" s="103">
        <f t="shared" ref="Z65" si="41">Z59+Z61+Z62+Z63</f>
        <v>4.0760105300000049</v>
      </c>
      <c r="AA65" s="103">
        <f t="shared" ref="AA65:AW65" si="42">AA59+AA61+AA62+AA63</f>
        <v>-0.92079302000000141</v>
      </c>
      <c r="AB65" s="103">
        <f t="shared" si="42"/>
        <v>-1.8631484000000018</v>
      </c>
      <c r="AC65" s="103">
        <f t="shared" si="42"/>
        <v>5.6155939799999963</v>
      </c>
      <c r="AD65" s="103">
        <f t="shared" si="42"/>
        <v>7.0552956300000034</v>
      </c>
      <c r="AE65" s="103">
        <f t="shared" si="42"/>
        <v>4.227241109999996</v>
      </c>
      <c r="AF65" s="103">
        <f t="shared" si="42"/>
        <v>7.0976440099999962</v>
      </c>
      <c r="AG65" s="103">
        <f t="shared" si="42"/>
        <v>8.3818997100000061</v>
      </c>
      <c r="AH65" s="103">
        <f t="shared" si="42"/>
        <v>2.04820855</v>
      </c>
      <c r="AI65" s="103">
        <f>AI59+AI61+AI62+AI63</f>
        <v>3.4733969800000004</v>
      </c>
      <c r="AJ65" s="103">
        <f t="shared" si="42"/>
        <v>4.5812744300000059</v>
      </c>
      <c r="AK65" s="103">
        <f t="shared" si="42"/>
        <v>7.9861129199999947</v>
      </c>
      <c r="AL65" s="103">
        <f t="shared" si="42"/>
        <v>5.6704993599999991</v>
      </c>
      <c r="AM65" s="103">
        <f t="shared" si="42"/>
        <v>11.082462880000001</v>
      </c>
      <c r="AN65" s="103">
        <f t="shared" si="42"/>
        <v>9.3444469499999787</v>
      </c>
      <c r="AO65" s="103">
        <f t="shared" si="42"/>
        <v>16.076514029999991</v>
      </c>
      <c r="AP65" s="103">
        <f t="shared" si="42"/>
        <v>12.8667201</v>
      </c>
      <c r="AQ65" s="103">
        <f t="shared" si="42"/>
        <v>15.859999999999998</v>
      </c>
      <c r="AR65" s="103">
        <f t="shared" si="42"/>
        <v>24.604246240000052</v>
      </c>
      <c r="AS65" s="103">
        <f t="shared" si="42"/>
        <v>16.042851060000011</v>
      </c>
      <c r="AT65" s="103">
        <f t="shared" si="42"/>
        <v>-8.3400907399999991</v>
      </c>
      <c r="AU65" s="103">
        <f t="shared" si="42"/>
        <v>40.621481979999984</v>
      </c>
      <c r="AV65" s="103">
        <f t="shared" si="42"/>
        <v>14.158553909999972</v>
      </c>
      <c r="AW65" s="103">
        <f t="shared" si="42"/>
        <v>8.7285663299999978</v>
      </c>
    </row>
    <row r="66" spans="1:49" ht="4.5" customHeight="1">
      <c r="A66" s="1">
        <v>25</v>
      </c>
      <c r="B66" s="109"/>
      <c r="C66" s="110">
        <f>HLOOKUP($C$42,$H$42:$BF$67,$G66,FALSE)</f>
        <v>0</v>
      </c>
      <c r="D66" s="110">
        <f>HLOOKUP($D$42,$H$42:$BF$67,$G66,FALSE)</f>
        <v>0</v>
      </c>
      <c r="E66" s="110"/>
      <c r="G66" s="56">
        <f t="shared" si="19"/>
        <v>25</v>
      </c>
      <c r="H66" s="109"/>
      <c r="I66" s="111"/>
      <c r="J66" s="111"/>
      <c r="K66" s="111"/>
      <c r="L66" s="111"/>
      <c r="M66" s="111"/>
      <c r="N66" s="111"/>
      <c r="O66" s="111"/>
      <c r="P66" s="111"/>
      <c r="Q66" s="110"/>
      <c r="R66" s="110"/>
      <c r="S66" s="110"/>
      <c r="T66" s="110"/>
      <c r="U66" s="110"/>
      <c r="V66" s="110"/>
      <c r="W66" s="110"/>
      <c r="X66" s="110"/>
      <c r="Y66" s="110"/>
      <c r="Z66" s="110"/>
      <c r="AA66" s="110"/>
      <c r="AB66" s="110"/>
      <c r="AC66" s="110"/>
      <c r="AD66" s="110"/>
      <c r="AE66" s="110"/>
      <c r="AF66" s="110"/>
      <c r="AG66" s="110"/>
      <c r="AH66" s="110"/>
      <c r="AI66" s="110"/>
      <c r="AJ66" s="110"/>
      <c r="AK66" s="110"/>
      <c r="AL66" s="110"/>
      <c r="AM66" s="110"/>
      <c r="AN66" s="110"/>
      <c r="AO66" s="110"/>
      <c r="AP66" s="110"/>
      <c r="AQ66" s="110"/>
      <c r="AR66" s="110"/>
      <c r="AS66" s="110"/>
      <c r="AT66" s="110"/>
      <c r="AU66" s="110"/>
      <c r="AV66" s="110"/>
      <c r="AW66" s="110"/>
    </row>
    <row r="67" spans="1:49">
      <c r="A67" s="1">
        <v>26</v>
      </c>
      <c r="B67" s="102" t="s">
        <v>157</v>
      </c>
      <c r="C67" s="103">
        <f>HLOOKUP($C$42,$H$42:$BF$67,$G67,FALSE)</f>
        <v>25.005951160000009</v>
      </c>
      <c r="D67" s="103">
        <f>HLOOKUP($D$42,$H$42:$BF$67,$G67,FALSE)</f>
        <v>17.561261039999998</v>
      </c>
      <c r="E67" s="104">
        <f>D67/C67-1</f>
        <v>-0.29771673440315594</v>
      </c>
      <c r="G67" s="56">
        <f t="shared" si="19"/>
        <v>26</v>
      </c>
      <c r="H67" s="102" t="s">
        <v>157</v>
      </c>
      <c r="I67" s="108"/>
      <c r="J67" s="108"/>
      <c r="K67" s="108"/>
      <c r="L67" s="108"/>
      <c r="M67" s="108"/>
      <c r="N67" s="108"/>
      <c r="O67" s="108"/>
      <c r="P67" s="108"/>
      <c r="Q67" s="103">
        <f t="shared" ref="Q67:W67" si="43">Q65-Q63</f>
        <v>16.722630229999996</v>
      </c>
      <c r="R67" s="103">
        <f t="shared" si="43"/>
        <v>9.1214044699999999</v>
      </c>
      <c r="S67" s="103">
        <f>S65-S63</f>
        <v>16.092304820000006</v>
      </c>
      <c r="T67" s="103">
        <f>T65-T63</f>
        <v>14.102576740000007</v>
      </c>
      <c r="U67" s="103">
        <f>U65-U63</f>
        <v>11.413736150000004</v>
      </c>
      <c r="V67" s="103">
        <f>V65-V63</f>
        <v>10.911691419999997</v>
      </c>
      <c r="W67" s="103">
        <f t="shared" si="43"/>
        <v>13.469644769999995</v>
      </c>
      <c r="X67" s="103">
        <f t="shared" ref="X67:Y67" si="44">X65-X63</f>
        <v>17.790658310000005</v>
      </c>
      <c r="Y67" s="103">
        <f t="shared" si="44"/>
        <v>9.9220379099999914</v>
      </c>
      <c r="Z67" s="103">
        <f t="shared" ref="Z67" si="45">Z65-Z63</f>
        <v>12.321331760000003</v>
      </c>
      <c r="AA67" s="103">
        <f t="shared" ref="AA67:AG67" si="46">AA65-AA63</f>
        <v>7.3580409999999983</v>
      </c>
      <c r="AB67" s="103">
        <f t="shared" si="46"/>
        <v>6.7242893699999993</v>
      </c>
      <c r="AC67" s="103">
        <f t="shared" si="46"/>
        <v>16.477185669999997</v>
      </c>
      <c r="AD67" s="103">
        <f t="shared" si="46"/>
        <v>18.472225720000001</v>
      </c>
      <c r="AE67" s="103">
        <f t="shared" si="46"/>
        <v>15.989242209999997</v>
      </c>
      <c r="AF67" s="103">
        <f t="shared" si="46"/>
        <v>18.991432969999998</v>
      </c>
      <c r="AG67" s="103">
        <f t="shared" si="46"/>
        <v>19.581899710000005</v>
      </c>
      <c r="AH67" s="103">
        <v>13.52670906</v>
      </c>
      <c r="AI67" s="103">
        <v>15.656362469999999</v>
      </c>
      <c r="AJ67" s="103">
        <f t="shared" ref="AJ67:AW67" si="47">AJ65-AJ63</f>
        <v>16.272895390000006</v>
      </c>
      <c r="AK67" s="103">
        <f t="shared" si="47"/>
        <v>16.934051869999994</v>
      </c>
      <c r="AL67" s="103">
        <f t="shared" si="47"/>
        <v>14.455169850000001</v>
      </c>
      <c r="AM67" s="103">
        <f t="shared" si="47"/>
        <v>19.862733290000001</v>
      </c>
      <c r="AN67" s="103">
        <f t="shared" si="47"/>
        <v>18.279215909999984</v>
      </c>
      <c r="AO67" s="103">
        <f t="shared" si="47"/>
        <v>24.898559639999995</v>
      </c>
      <c r="AP67" s="103">
        <f t="shared" si="47"/>
        <v>21.749549699999996</v>
      </c>
      <c r="AQ67" s="103">
        <f t="shared" ref="AQ67" si="48">+AQ65-AQ63</f>
        <v>24.74</v>
      </c>
      <c r="AR67" s="103">
        <f t="shared" si="47"/>
        <v>33.750337640000048</v>
      </c>
      <c r="AS67" s="103">
        <f t="shared" si="47"/>
        <v>25.005951160000009</v>
      </c>
      <c r="AT67" s="103">
        <f t="shared" si="47"/>
        <v>0.18746012000000079</v>
      </c>
      <c r="AU67" s="103">
        <f t="shared" si="47"/>
        <v>48.856589139999983</v>
      </c>
      <c r="AV67" s="103">
        <f t="shared" si="47"/>
        <v>24.082997179999985</v>
      </c>
      <c r="AW67" s="103">
        <f t="shared" si="47"/>
        <v>17.561261039999998</v>
      </c>
    </row>
    <row r="68" spans="1:49">
      <c r="W68" s="50"/>
    </row>
    <row r="69" spans="1:49">
      <c r="W69" s="50"/>
      <c r="AJ69" s="50"/>
      <c r="AK69" s="50"/>
      <c r="AL69" s="50"/>
      <c r="AM69" s="50"/>
      <c r="AN69" s="50"/>
      <c r="AO69" s="50"/>
    </row>
    <row r="70" spans="1:49" ht="92.25" customHeight="1">
      <c r="B70" s="140" t="s">
        <v>185</v>
      </c>
      <c r="C70" s="140"/>
      <c r="D70" s="140"/>
      <c r="E70" s="140"/>
      <c r="W70" s="50"/>
    </row>
    <row r="71" spans="1:49">
      <c r="AG71" s="50"/>
      <c r="AH71" s="50"/>
      <c r="AI71" s="50"/>
      <c r="AJ71" s="52"/>
      <c r="AK71" s="50"/>
      <c r="AL71" s="50"/>
      <c r="AM71" s="50"/>
      <c r="AN71" s="50"/>
      <c r="AO71" s="50"/>
    </row>
    <row r="72" spans="1:49" ht="226.5" customHeight="1">
      <c r="B72" s="140"/>
      <c r="C72" s="140"/>
      <c r="D72" s="140"/>
      <c r="E72" s="140"/>
      <c r="W72" s="50"/>
    </row>
    <row r="73" spans="1:49">
      <c r="W73" s="51"/>
    </row>
  </sheetData>
  <mergeCells count="79">
    <mergeCell ref="AT42:AT43"/>
    <mergeCell ref="AS7:AS8"/>
    <mergeCell ref="AS42:AS43"/>
    <mergeCell ref="AQ7:AQ8"/>
    <mergeCell ref="AQ42:AQ43"/>
    <mergeCell ref="AT7:AT8"/>
    <mergeCell ref="AL7:AL8"/>
    <mergeCell ref="AL42:AL43"/>
    <mergeCell ref="AP7:AP8"/>
    <mergeCell ref="AP42:AP43"/>
    <mergeCell ref="AR7:AR8"/>
    <mergeCell ref="AR42:AR43"/>
    <mergeCell ref="AO7:AO8"/>
    <mergeCell ref="AO42:AO43"/>
    <mergeCell ref="M42:M43"/>
    <mergeCell ref="K42:K43"/>
    <mergeCell ref="L42:L43"/>
    <mergeCell ref="Q42:Q43"/>
    <mergeCell ref="R42:R43"/>
    <mergeCell ref="B72:E72"/>
    <mergeCell ref="C42:C43"/>
    <mergeCell ref="D42:D43"/>
    <mergeCell ref="B70:E70"/>
    <mergeCell ref="J42:J43"/>
    <mergeCell ref="I42:I43"/>
    <mergeCell ref="E42:E43"/>
    <mergeCell ref="U42:U43"/>
    <mergeCell ref="U7:U8"/>
    <mergeCell ref="S42:S43"/>
    <mergeCell ref="T42:T43"/>
    <mergeCell ref="N42:N43"/>
    <mergeCell ref="O42:O43"/>
    <mergeCell ref="P42:P43"/>
    <mergeCell ref="B35:AN37"/>
    <mergeCell ref="AM42:AM43"/>
    <mergeCell ref="AM7:AM8"/>
    <mergeCell ref="AN7:AN8"/>
    <mergeCell ref="AN42:AN43"/>
    <mergeCell ref="V42:V43"/>
    <mergeCell ref="AE7:AE8"/>
    <mergeCell ref="AE42:AE43"/>
    <mergeCell ref="AH42:AH43"/>
    <mergeCell ref="AK42:AK43"/>
    <mergeCell ref="AF42:AF43"/>
    <mergeCell ref="AF7:AF8"/>
    <mergeCell ref="AI7:AI8"/>
    <mergeCell ref="AI42:AI43"/>
    <mergeCell ref="AJ7:AJ8"/>
    <mergeCell ref="AG7:AG8"/>
    <mergeCell ref="AG42:AG43"/>
    <mergeCell ref="AH7:AH8"/>
    <mergeCell ref="AK7:AK8"/>
    <mergeCell ref="E7:E8"/>
    <mergeCell ref="V7:V8"/>
    <mergeCell ref="Y7:Y8"/>
    <mergeCell ref="W7:W8"/>
    <mergeCell ref="AA7:AA8"/>
    <mergeCell ref="C7:C8"/>
    <mergeCell ref="AJ42:AJ43"/>
    <mergeCell ref="AD42:AD43"/>
    <mergeCell ref="AC42:AC43"/>
    <mergeCell ref="AA42:AA43"/>
    <mergeCell ref="AB42:AB43"/>
    <mergeCell ref="W42:W43"/>
    <mergeCell ref="X42:X43"/>
    <mergeCell ref="AC7:AC8"/>
    <mergeCell ref="AD7:AD8"/>
    <mergeCell ref="Y42:Y43"/>
    <mergeCell ref="Z42:Z43"/>
    <mergeCell ref="AB7:AB8"/>
    <mergeCell ref="X7:X8"/>
    <mergeCell ref="Z7:Z8"/>
    <mergeCell ref="D7:D8"/>
    <mergeCell ref="AW7:AW8"/>
    <mergeCell ref="AW42:AW43"/>
    <mergeCell ref="AV7:AV8"/>
    <mergeCell ref="AV42:AV43"/>
    <mergeCell ref="AU7:AU8"/>
    <mergeCell ref="AU42:AU43"/>
  </mergeCells>
  <phoneticPr fontId="14" type="noConversion"/>
  <pageMargins left="0.7" right="0.7" top="0.75" bottom="0.75" header="0.3" footer="0.3"/>
  <pageSetup orientation="portrait" r:id="rId1"/>
  <ignoredErrors>
    <ignoredError sqref="AB10 AB52" formula="1"/>
    <ignoredError sqref="E46 E53 E66:E67 E51 E58:E64"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9" tint="0.79998168889431442"/>
  </sheetPr>
  <dimension ref="A4:AY49"/>
  <sheetViews>
    <sheetView topLeftCell="B1" zoomScale="86" zoomScaleNormal="86" workbookViewId="0">
      <selection activeCell="F35" sqref="F35"/>
    </sheetView>
  </sheetViews>
  <sheetFormatPr defaultColWidth="11.453125" defaultRowHeight="13.5"/>
  <cols>
    <col min="1" max="1" width="11.453125" style="1" hidden="1" customWidth="1"/>
    <col min="2" max="2" width="57" style="1" customWidth="1"/>
    <col min="3" max="4" width="11.453125" style="1"/>
    <col min="5" max="6" width="11.453125" style="1" customWidth="1"/>
    <col min="7" max="7" width="11.453125" style="56"/>
    <col min="8" max="8" width="60.6328125" style="1" customWidth="1"/>
    <col min="9" max="20" width="11.453125" style="1" customWidth="1"/>
    <col min="21" max="26" width="15" style="1" customWidth="1"/>
    <col min="27" max="46" width="11.453125" style="1" customWidth="1"/>
    <col min="47" max="16384" width="11.453125" style="1"/>
  </cols>
  <sheetData>
    <row r="4" spans="1:51" ht="23.5">
      <c r="B4" s="11" t="s">
        <v>0</v>
      </c>
      <c r="C4" s="12"/>
      <c r="D4" s="12"/>
      <c r="E4" s="12"/>
      <c r="H4" s="11" t="s">
        <v>0</v>
      </c>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row>
    <row r="5" spans="1:51" ht="8.25" customHeight="1"/>
    <row r="6" spans="1:51">
      <c r="A6" s="1">
        <v>1</v>
      </c>
      <c r="B6" s="3" t="s">
        <v>186</v>
      </c>
      <c r="C6" s="139" t="s">
        <v>73</v>
      </c>
      <c r="D6" s="139" t="s">
        <v>74</v>
      </c>
      <c r="E6" s="139" t="s">
        <v>75</v>
      </c>
      <c r="G6" s="56">
        <v>1</v>
      </c>
      <c r="H6" s="3" t="s">
        <v>186</v>
      </c>
      <c r="I6" s="139" t="s">
        <v>77</v>
      </c>
      <c r="J6" s="139" t="s">
        <v>78</v>
      </c>
      <c r="K6" s="139" t="s">
        <v>79</v>
      </c>
      <c r="L6" s="139" t="s">
        <v>80</v>
      </c>
      <c r="M6" s="139" t="s">
        <v>81</v>
      </c>
      <c r="N6" s="139" t="s">
        <v>82</v>
      </c>
      <c r="O6" s="139" t="s">
        <v>83</v>
      </c>
      <c r="P6" s="139" t="s">
        <v>84</v>
      </c>
      <c r="Q6" s="139" t="s">
        <v>85</v>
      </c>
      <c r="R6" s="139" t="s">
        <v>86</v>
      </c>
      <c r="S6" s="139" t="s">
        <v>87</v>
      </c>
      <c r="T6" s="139" t="s">
        <v>88</v>
      </c>
      <c r="U6" s="139" t="s">
        <v>89</v>
      </c>
      <c r="V6" s="139" t="s">
        <v>90</v>
      </c>
      <c r="W6" s="139" t="s">
        <v>91</v>
      </c>
      <c r="X6" s="139" t="s">
        <v>92</v>
      </c>
      <c r="Y6" s="139" t="s">
        <v>93</v>
      </c>
      <c r="Z6" s="139" t="s">
        <v>94</v>
      </c>
      <c r="AA6" s="139" t="s">
        <v>95</v>
      </c>
      <c r="AB6" s="139" t="s">
        <v>96</v>
      </c>
      <c r="AC6" s="139" t="s">
        <v>97</v>
      </c>
      <c r="AD6" s="139" t="s">
        <v>98</v>
      </c>
      <c r="AE6" s="139" t="s">
        <v>99</v>
      </c>
      <c r="AF6" s="139" t="s">
        <v>100</v>
      </c>
      <c r="AG6" s="139" t="s">
        <v>101</v>
      </c>
      <c r="AH6" s="139" t="s">
        <v>102</v>
      </c>
      <c r="AI6" s="139" t="s">
        <v>103</v>
      </c>
      <c r="AJ6" s="139" t="s">
        <v>104</v>
      </c>
      <c r="AK6" s="139" t="s">
        <v>105</v>
      </c>
      <c r="AL6" s="139" t="s">
        <v>106</v>
      </c>
      <c r="AM6" s="139" t="s">
        <v>107</v>
      </c>
      <c r="AN6" s="139" t="s">
        <v>108</v>
      </c>
      <c r="AO6" s="139" t="s">
        <v>109</v>
      </c>
      <c r="AP6" s="139" t="s">
        <v>110</v>
      </c>
      <c r="AQ6" s="139" t="s">
        <v>111</v>
      </c>
      <c r="AR6" s="139" t="s">
        <v>112</v>
      </c>
      <c r="AS6" s="139" t="s">
        <v>73</v>
      </c>
      <c r="AT6" s="139" t="s">
        <v>113</v>
      </c>
      <c r="AU6" s="139" t="s">
        <v>114</v>
      </c>
      <c r="AV6" s="139" t="s">
        <v>115</v>
      </c>
      <c r="AW6" s="139" t="s">
        <v>74</v>
      </c>
    </row>
    <row r="7" spans="1:51">
      <c r="A7" s="1">
        <v>2</v>
      </c>
      <c r="B7" s="3" t="s">
        <v>141</v>
      </c>
      <c r="C7" s="139"/>
      <c r="D7" s="139"/>
      <c r="E7" s="139"/>
      <c r="G7" s="56">
        <f>G6+1</f>
        <v>2</v>
      </c>
      <c r="H7" s="3" t="s">
        <v>141</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39"/>
      <c r="AR7" s="139"/>
      <c r="AS7" s="139"/>
      <c r="AT7" s="139"/>
      <c r="AU7" s="139"/>
      <c r="AV7" s="139"/>
      <c r="AW7" s="139"/>
    </row>
    <row r="8" spans="1:51" ht="5.25" customHeight="1">
      <c r="A8" s="1">
        <v>3</v>
      </c>
      <c r="G8" s="56">
        <f t="shared" ref="G8:G23" si="0">G7+1</f>
        <v>3</v>
      </c>
    </row>
    <row r="9" spans="1:51">
      <c r="A9" s="1">
        <v>4</v>
      </c>
      <c r="B9" s="5" t="s">
        <v>158</v>
      </c>
      <c r="C9" s="8">
        <f>HLOOKUP($C$6,$H$6:$BV$23,$G9,FALSE)</f>
        <v>15.011799372356622</v>
      </c>
      <c r="D9" s="8">
        <f>HLOOKUP($D$6,$H$6:$BV$23,$G9,FALSE)</f>
        <v>14.920460329999997</v>
      </c>
      <c r="E9" s="47">
        <f t="shared" ref="E9:E13" si="1">+D9/C9-1</f>
        <v>-6.0844832848498953E-3</v>
      </c>
      <c r="G9" s="56">
        <f t="shared" si="0"/>
        <v>4</v>
      </c>
      <c r="H9" s="5" t="s">
        <v>158</v>
      </c>
      <c r="I9" s="8">
        <v>1.4662270099999999</v>
      </c>
      <c r="J9" s="8">
        <v>1.1757188900000002</v>
      </c>
      <c r="K9" s="8">
        <v>1.7353684800000002</v>
      </c>
      <c r="L9" s="8">
        <v>1.1839040000000001</v>
      </c>
      <c r="M9" s="8">
        <v>0.95460129000000005</v>
      </c>
      <c r="N9" s="8">
        <v>1.11481557</v>
      </c>
      <c r="O9" s="8">
        <v>1.42294038</v>
      </c>
      <c r="P9" s="8">
        <v>2.02492457</v>
      </c>
      <c r="Q9" s="8">
        <v>2.5239263000000003</v>
      </c>
      <c r="R9" s="8">
        <v>2.6392289799999999</v>
      </c>
      <c r="S9" s="8">
        <v>1.97991607</v>
      </c>
      <c r="T9" s="8">
        <v>2.3358944199999998</v>
      </c>
      <c r="U9" s="8">
        <v>2.4035590900000003</v>
      </c>
      <c r="V9" s="8">
        <v>2.6319862900000004</v>
      </c>
      <c r="W9" s="8">
        <v>3.0199921999999999</v>
      </c>
      <c r="X9" s="8">
        <v>4.0376973799999991</v>
      </c>
      <c r="Y9" s="8">
        <v>4.6344836200000001</v>
      </c>
      <c r="Z9" s="8">
        <v>4.2783687300000004</v>
      </c>
      <c r="AA9" s="8">
        <v>4.7103349699999999</v>
      </c>
      <c r="AB9" s="8">
        <f>6.01289806-AB33</f>
        <v>5.7128980600000006</v>
      </c>
      <c r="AC9" s="8">
        <f>6.38418633-AC33</f>
        <v>6.2427841200000005</v>
      </c>
      <c r="AD9" s="8">
        <v>4.8234028599999998</v>
      </c>
      <c r="AE9" s="8">
        <f>4.91729925-AE33</f>
        <v>4.8143698200000005</v>
      </c>
      <c r="AF9" s="8">
        <v>5.6272245399999994</v>
      </c>
      <c r="AG9" s="8">
        <v>5.0345027899999995</v>
      </c>
      <c r="AH9" s="8">
        <f>2.96507997-AH33</f>
        <v>2.84445215</v>
      </c>
      <c r="AI9" s="8">
        <f>1.77239862-AI33</f>
        <v>1.4703623100000001</v>
      </c>
      <c r="AJ9" s="8">
        <f>1.47030009-AJ33</f>
        <v>1.31337612</v>
      </c>
      <c r="AK9" s="8">
        <f>1.29118209-AK33</f>
        <v>1.2344813399999999</v>
      </c>
      <c r="AL9" s="8">
        <f>1.1247755-AL33</f>
        <v>1.07016618</v>
      </c>
      <c r="AM9" s="8">
        <f>0.942097710000001-AM33</f>
        <v>0.91264000000000101</v>
      </c>
      <c r="AN9" s="8">
        <f>1.60977117-AN33</f>
        <v>1.5648380799999999</v>
      </c>
      <c r="AO9" s="8">
        <f>2.52594328-AO33</f>
        <v>2.4388063899999999</v>
      </c>
      <c r="AP9" s="8">
        <v>4.7130952443980334</v>
      </c>
      <c r="AQ9" s="8">
        <v>7.39</v>
      </c>
      <c r="AR9" s="8">
        <v>14.798231445711348</v>
      </c>
      <c r="AS9" s="8">
        <v>15.011799372356622</v>
      </c>
      <c r="AT9" s="8">
        <v>16.219664062819206</v>
      </c>
      <c r="AU9" s="8">
        <f>17.6275960348242-AU33</f>
        <v>17.140367324824201</v>
      </c>
      <c r="AV9" s="8">
        <v>18.220798819999985</v>
      </c>
      <c r="AW9" s="8">
        <v>14.920460329999997</v>
      </c>
      <c r="AX9" s="46"/>
      <c r="AY9" s="46"/>
    </row>
    <row r="10" spans="1:51">
      <c r="A10" s="1">
        <v>5</v>
      </c>
      <c r="B10" s="5" t="s">
        <v>159</v>
      </c>
      <c r="C10" s="8">
        <f>HLOOKUP($C$6,$H$6:$BV$23,$G10,FALSE)</f>
        <v>-17.451730310295329</v>
      </c>
      <c r="D10" s="8">
        <f>HLOOKUP($D$6,$H$6:$BV$23,$G10,FALSE)</f>
        <v>-13.045145169894102</v>
      </c>
      <c r="E10" s="47">
        <f t="shared" si="1"/>
        <v>-0.25250133150416854</v>
      </c>
      <c r="G10" s="56">
        <f t="shared" si="0"/>
        <v>5</v>
      </c>
      <c r="H10" s="5" t="s">
        <v>159</v>
      </c>
      <c r="I10" s="8">
        <v>-10.626635870000003</v>
      </c>
      <c r="J10" s="8">
        <v>-18.906711529999999</v>
      </c>
      <c r="K10" s="8">
        <v>-22.234989130000002</v>
      </c>
      <c r="L10" s="8">
        <v>-24.200978769999999</v>
      </c>
      <c r="M10" s="8">
        <v>-22.225827200000001</v>
      </c>
      <c r="N10" s="8">
        <v>-22.659230260000001</v>
      </c>
      <c r="O10" s="8">
        <v>-22.1827258</v>
      </c>
      <c r="P10" s="8">
        <v>-23.468063270000012</v>
      </c>
      <c r="Q10" s="8">
        <v>-21.995525559999994</v>
      </c>
      <c r="R10" s="8">
        <v>-29.405213699999994</v>
      </c>
      <c r="S10" s="8">
        <v>-20.349421719999999</v>
      </c>
      <c r="T10" s="8">
        <v>-17.031099160000004</v>
      </c>
      <c r="U10" s="8">
        <v>-17.078348720000001</v>
      </c>
      <c r="V10" s="8">
        <v>-16.949563600000001</v>
      </c>
      <c r="W10" s="8">
        <v>-18.106198549999998</v>
      </c>
      <c r="X10" s="8">
        <v>-18.049542049999999</v>
      </c>
      <c r="Y10" s="8">
        <v>-16.651068130000002</v>
      </c>
      <c r="Z10" s="8">
        <v>-16.379844120000001</v>
      </c>
      <c r="AA10" s="8">
        <v>-16.317024100000001</v>
      </c>
      <c r="AB10" s="8">
        <f>+-20.77659963-AB34</f>
        <v>-16.176599629999998</v>
      </c>
      <c r="AC10" s="8">
        <f>+-22.87158708-AC34</f>
        <v>-18.271972760000001</v>
      </c>
      <c r="AD10" s="8">
        <v>-16.063149940000002</v>
      </c>
      <c r="AE10" s="8">
        <f>+-22.90039531-AE34</f>
        <v>-15.867734390000001</v>
      </c>
      <c r="AF10" s="8">
        <v>-15.93443744</v>
      </c>
      <c r="AG10" s="8">
        <v>-22.52007699</v>
      </c>
      <c r="AH10" s="8">
        <f>+-22.69825814-AH34</f>
        <v>-16.0913121</v>
      </c>
      <c r="AI10" s="8">
        <f>-22.93371934-AI34</f>
        <v>-15.99297938</v>
      </c>
      <c r="AJ10" s="8">
        <f>+-22.3071621318032-AJ34</f>
        <v>-15.8623332918032</v>
      </c>
      <c r="AK10" s="8">
        <f>+-22.189419768481-AK34</f>
        <v>-15.563348398480999</v>
      </c>
      <c r="AL10" s="8">
        <f>+-21.403158571519-AL34</f>
        <v>-15.183844811518998</v>
      </c>
      <c r="AM10" s="8">
        <f>+-20.9877454360415-AM34</f>
        <v>-14.383637196041501</v>
      </c>
      <c r="AN10" s="8">
        <f>+-21.7663304023006-AN34</f>
        <v>-15.7333862323006</v>
      </c>
      <c r="AO10" s="8">
        <f>+-20.9064111211749-AO34</f>
        <v>-14.6295752711749</v>
      </c>
      <c r="AP10" s="8">
        <v>-15.030657780752792</v>
      </c>
      <c r="AQ10" s="8">
        <v>-16.739999999999998</v>
      </c>
      <c r="AR10" s="8">
        <v>-18.936528970145986</v>
      </c>
      <c r="AS10" s="8">
        <v>-17.451730310295329</v>
      </c>
      <c r="AT10" s="8">
        <v>-16.642867281415082</v>
      </c>
      <c r="AU10" s="8">
        <f>-21.0050914995364-AU34</f>
        <v>-15.010323759536405</v>
      </c>
      <c r="AV10" s="8">
        <v>-13.926444329354201</v>
      </c>
      <c r="AW10" s="8">
        <v>-13.045145169894102</v>
      </c>
      <c r="AX10" s="46"/>
      <c r="AY10" s="46"/>
    </row>
    <row r="11" spans="1:51">
      <c r="A11" s="1">
        <v>6</v>
      </c>
      <c r="B11" s="5" t="s">
        <v>160</v>
      </c>
      <c r="C11" s="8">
        <f>HLOOKUP($C$6,$H$6:$BV$23,$G11,FALSE)</f>
        <v>0.65734639204547696</v>
      </c>
      <c r="D11" s="8">
        <f>HLOOKUP($D$6,$H$6:$BV$23,$G11,FALSE)</f>
        <v>0.6194717667019316</v>
      </c>
      <c r="E11" s="47" t="s">
        <v>132</v>
      </c>
      <c r="G11" s="56">
        <f t="shared" si="0"/>
        <v>6</v>
      </c>
      <c r="H11" s="5" t="s">
        <v>160</v>
      </c>
      <c r="I11" s="8">
        <v>-8.8651856400000035</v>
      </c>
      <c r="J11" s="8">
        <v>-4.3334364300000034</v>
      </c>
      <c r="K11" s="8">
        <v>-4.3586822799999982</v>
      </c>
      <c r="L11" s="8">
        <v>-4.8634491599999947</v>
      </c>
      <c r="M11" s="8">
        <v>0.40925101999999863</v>
      </c>
      <c r="N11" s="8">
        <v>9.0239089999998218E-2</v>
      </c>
      <c r="O11" s="8">
        <v>-11.379597659999998</v>
      </c>
      <c r="P11" s="8">
        <v>-0.28029470999999839</v>
      </c>
      <c r="Q11" s="8">
        <v>1.6776827199999993</v>
      </c>
      <c r="R11" s="8">
        <v>1.8926907599999989</v>
      </c>
      <c r="S11" s="8">
        <v>0.6660450100000006</v>
      </c>
      <c r="T11" s="8">
        <v>-2.1365888599999994</v>
      </c>
      <c r="U11" s="8">
        <v>-1.1568363599999962</v>
      </c>
      <c r="V11" s="8">
        <v>0.97049637000000044</v>
      </c>
      <c r="W11" s="8">
        <v>2.7896323000000032</v>
      </c>
      <c r="X11" s="8">
        <v>3.2934243999999993</v>
      </c>
      <c r="Y11" s="8">
        <v>-0.92194750000000047</v>
      </c>
      <c r="Z11" s="8">
        <v>-6.2046905200000015</v>
      </c>
      <c r="AA11" s="8">
        <v>-1.2370830100000005</v>
      </c>
      <c r="AB11" s="8">
        <f>+-3.07027684-AB35</f>
        <v>-2.3702768399999998</v>
      </c>
      <c r="AC11" s="8">
        <f>1.26233637-AC35</f>
        <v>0.51242419000000017</v>
      </c>
      <c r="AD11" s="8">
        <v>0.56314343000000178</v>
      </c>
      <c r="AE11" s="8">
        <f>+-7.7517799-AE35</f>
        <v>-6.7136207399999996</v>
      </c>
      <c r="AF11" s="8">
        <v>-2.4574157799999981</v>
      </c>
      <c r="AG11" s="8">
        <v>-4.8135680699999979</v>
      </c>
      <c r="AH11" s="8">
        <f>4.90670248-AH35</f>
        <v>6.4015687899999998</v>
      </c>
      <c r="AI11" s="8">
        <f>2.12866110999999-AI35</f>
        <v>2.3133282699999902</v>
      </c>
      <c r="AJ11" s="8">
        <f>3.48765462486777-AJ35</f>
        <v>3.6742374048677702</v>
      </c>
      <c r="AK11" s="8">
        <f>+-2.8008947524971-AK35</f>
        <v>-1.7878934124971002</v>
      </c>
      <c r="AL11" s="8">
        <f>0.663801022497097-AL35</f>
        <v>1.0239868724970975</v>
      </c>
      <c r="AM11" s="8">
        <f>+-10.3464105744538-AM35</f>
        <v>-8.8174842144538008</v>
      </c>
      <c r="AN11" s="8">
        <f>+-1.34246772571796-AN35</f>
        <v>-2.5856108957179602</v>
      </c>
      <c r="AO11" s="8">
        <f>1.48156127068601-AO35</f>
        <v>0.29630127068600998</v>
      </c>
      <c r="AP11" s="8">
        <v>-10.035349439768115</v>
      </c>
      <c r="AQ11" s="8">
        <v>-2.95</v>
      </c>
      <c r="AR11" s="8">
        <v>9.3632037117744531</v>
      </c>
      <c r="AS11" s="8">
        <v>0.65734639204547696</v>
      </c>
      <c r="AT11" s="8">
        <v>-4.6967425531685052</v>
      </c>
      <c r="AU11" s="8">
        <f>-3.99090034306757-AU35</f>
        <v>-1.9739785330675694</v>
      </c>
      <c r="AV11" s="8">
        <v>-0.8281157996298063</v>
      </c>
      <c r="AW11" s="8">
        <v>0.6194717667019316</v>
      </c>
      <c r="AX11" s="46"/>
      <c r="AY11" s="46"/>
    </row>
    <row r="12" spans="1:51">
      <c r="A12" s="1">
        <v>7</v>
      </c>
      <c r="B12" s="5" t="s">
        <v>161</v>
      </c>
      <c r="C12" s="8">
        <f>HLOOKUP($C$6,$H$6:$BV$23,$G12,FALSE)</f>
        <v>4.0273403800000001</v>
      </c>
      <c r="D12" s="8">
        <f>HLOOKUP($D$6,$H$6:$BV$23,$G12,FALSE)</f>
        <v>3.0067959499999999</v>
      </c>
      <c r="E12" s="47">
        <f t="shared" si="1"/>
        <v>-0.25340406663118953</v>
      </c>
      <c r="G12" s="56">
        <f t="shared" si="0"/>
        <v>7</v>
      </c>
      <c r="H12" s="5" t="s">
        <v>161</v>
      </c>
      <c r="I12" s="8">
        <v>1.3290894200000001</v>
      </c>
      <c r="J12" s="8">
        <v>1.5853836699999999</v>
      </c>
      <c r="K12" s="8">
        <v>0.97654169999999996</v>
      </c>
      <c r="L12" s="8">
        <v>-103.20577056</v>
      </c>
      <c r="M12" s="8">
        <v>1.4798667200000002</v>
      </c>
      <c r="N12" s="8">
        <v>1.6878022100000001</v>
      </c>
      <c r="O12" s="8">
        <v>2.3139469400000001</v>
      </c>
      <c r="P12" s="8">
        <v>1.1384796700000002</v>
      </c>
      <c r="Q12" s="8">
        <v>1.3951977900000001</v>
      </c>
      <c r="R12" s="8">
        <v>1.6620992699999999</v>
      </c>
      <c r="S12" s="8">
        <v>1.4309245900000001</v>
      </c>
      <c r="T12" s="8">
        <v>0.92597229999999997</v>
      </c>
      <c r="U12" s="8">
        <v>0.73980449999999998</v>
      </c>
      <c r="V12" s="8">
        <v>1.1078972599999999</v>
      </c>
      <c r="W12" s="8">
        <v>1.2924579299999999</v>
      </c>
      <c r="X12" s="8">
        <v>-0.23659015999999999</v>
      </c>
      <c r="Y12" s="8">
        <v>4.6503776200000004</v>
      </c>
      <c r="Z12" s="8">
        <v>2.09918505</v>
      </c>
      <c r="AA12" s="8">
        <v>2.82230545</v>
      </c>
      <c r="AB12" s="8">
        <f>1.81704674-AB36</f>
        <v>2.1170467400000001</v>
      </c>
      <c r="AC12" s="8">
        <v>2.2436588</v>
      </c>
      <c r="AD12" s="8">
        <v>2.5646927799999997</v>
      </c>
      <c r="AE12" s="8">
        <v>2.1804517300000001</v>
      </c>
      <c r="AF12" s="8">
        <v>2.0129498799999999</v>
      </c>
      <c r="AG12" s="8">
        <v>2.3433842899999999</v>
      </c>
      <c r="AH12" s="8">
        <v>2.14213787</v>
      </c>
      <c r="AI12" s="8">
        <v>2.18435165</v>
      </c>
      <c r="AJ12" s="8">
        <v>3.2800220100000002</v>
      </c>
      <c r="AK12" s="8">
        <v>1.37134892</v>
      </c>
      <c r="AL12" s="8">
        <v>1.9524835000000005</v>
      </c>
      <c r="AM12" s="8">
        <v>2.0504456300000009</v>
      </c>
      <c r="AN12" s="8">
        <v>1.3235566899999993</v>
      </c>
      <c r="AO12" s="8">
        <v>2.6146828799999997</v>
      </c>
      <c r="AP12" s="8">
        <v>2.6146828799999997</v>
      </c>
      <c r="AQ12" s="8">
        <v>3.19</v>
      </c>
      <c r="AR12" s="8">
        <v>3.7476725300000004</v>
      </c>
      <c r="AS12" s="8">
        <v>4.0273403800000001</v>
      </c>
      <c r="AT12" s="8">
        <v>3.3727477199999996</v>
      </c>
      <c r="AU12" s="8">
        <f>2.82167445</f>
        <v>2.8216744500000002</v>
      </c>
      <c r="AV12" s="8">
        <v>2.9199357299999988</v>
      </c>
      <c r="AW12" s="8">
        <v>3.0067959499999999</v>
      </c>
      <c r="AX12" s="46"/>
      <c r="AY12" s="46"/>
    </row>
    <row r="13" spans="1:51">
      <c r="A13" s="1">
        <v>8</v>
      </c>
      <c r="B13" s="5" t="s">
        <v>162</v>
      </c>
      <c r="C13" s="8">
        <f>HLOOKUP($C$6,$H$6:$BV$23,$G13,FALSE)</f>
        <v>-14.334719300284476</v>
      </c>
      <c r="D13" s="8">
        <f>HLOOKUP($D$6,$H$6:$BV$23,$G13,FALSE)</f>
        <v>-14.248385925640481</v>
      </c>
      <c r="E13" s="47">
        <f t="shared" si="1"/>
        <v>-6.0226763311843623E-3</v>
      </c>
      <c r="G13" s="56">
        <f t="shared" si="0"/>
        <v>8</v>
      </c>
      <c r="H13" s="5" t="s">
        <v>162</v>
      </c>
      <c r="I13" s="8">
        <v>7.6787009399999997</v>
      </c>
      <c r="J13" s="8">
        <v>-0.6349095800000002</v>
      </c>
      <c r="K13" s="8">
        <v>1.5550089300000001</v>
      </c>
      <c r="L13" s="8">
        <v>-10.01893578</v>
      </c>
      <c r="M13" s="8">
        <v>-0.86712882999999974</v>
      </c>
      <c r="N13" s="8">
        <v>-3.8732335000000004</v>
      </c>
      <c r="O13" s="8">
        <v>10.518928080000002</v>
      </c>
      <c r="P13" s="8">
        <v>-6.9999426499999995</v>
      </c>
      <c r="Q13" s="8">
        <v>-0.57909954999999991</v>
      </c>
      <c r="R13" s="8">
        <v>-3.5300810800000009</v>
      </c>
      <c r="S13" s="8">
        <v>-0.45134172000000006</v>
      </c>
      <c r="T13" s="8">
        <v>-9.0108974999999987</v>
      </c>
      <c r="U13" s="8">
        <v>-4.5125797099999998</v>
      </c>
      <c r="V13" s="8">
        <v>14.862204890000001</v>
      </c>
      <c r="W13" s="8">
        <v>-3.5680980999999998</v>
      </c>
      <c r="X13" s="8">
        <v>-91.652864159999993</v>
      </c>
      <c r="Y13" s="8">
        <v>-4.1548844699999998</v>
      </c>
      <c r="Z13" s="8">
        <v>-9.2554299900000014</v>
      </c>
      <c r="AA13" s="8">
        <v>-4.7160856799999999</v>
      </c>
      <c r="AB13" s="8">
        <v>-34.22733968</v>
      </c>
      <c r="AC13" s="8">
        <f>+-4.51412636-AC36</f>
        <v>-5.9547356499999999</v>
      </c>
      <c r="AD13" s="8">
        <v>-9.8854343699999987</v>
      </c>
      <c r="AE13" s="8">
        <f>+-9.97992889-AE36</f>
        <v>-7.72404622</v>
      </c>
      <c r="AF13" s="8">
        <v>-82.605248800000012</v>
      </c>
      <c r="AG13" s="8">
        <v>-29.421527419999997</v>
      </c>
      <c r="AH13" s="8">
        <f>+-9.42644867-AH36</f>
        <v>-8.2086153999999993</v>
      </c>
      <c r="AI13" s="8">
        <f>+-7.9983525-AI36</f>
        <v>-8.3186008599999983</v>
      </c>
      <c r="AJ13" s="8">
        <f>+-193.31770803-AJ36</f>
        <v>-13.078110480000021</v>
      </c>
      <c r="AK13" s="8">
        <f>+-21.5381204620468-AK36</f>
        <v>-21.3322415620468</v>
      </c>
      <c r="AL13" s="8">
        <f>+-22.6635342667088-AL36</f>
        <v>-22.324859756708801</v>
      </c>
      <c r="AM13" s="8">
        <f>818.753137540501-AM36</f>
        <v>819.33085374050108</v>
      </c>
      <c r="AN13" s="8">
        <f>+-161.90484948138-AN36</f>
        <v>-160.61044991138002</v>
      </c>
      <c r="AO13" s="8">
        <f>+-16.21641086587-AO36</f>
        <v>-14.620499125869999</v>
      </c>
      <c r="AP13" s="8">
        <v>-13.536985459851605</v>
      </c>
      <c r="AQ13" s="8">
        <v>-17.059999999999999</v>
      </c>
      <c r="AR13" s="8">
        <v>-24.480819553285279</v>
      </c>
      <c r="AS13" s="8">
        <v>-14.334719300284476</v>
      </c>
      <c r="AT13" s="8">
        <v>96.015897539502802</v>
      </c>
      <c r="AU13" s="8">
        <f>4.08176518794018-AU36</f>
        <v>6.4755275779401789</v>
      </c>
      <c r="AV13" s="8">
        <v>-27.041849934107219</v>
      </c>
      <c r="AW13" s="8">
        <v>-14.248385925640481</v>
      </c>
      <c r="AX13" s="46"/>
      <c r="AY13" s="46"/>
    </row>
    <row r="14" spans="1:51" ht="5.25" customHeight="1">
      <c r="A14" s="1">
        <v>9</v>
      </c>
      <c r="E14" s="38"/>
      <c r="G14" s="56">
        <f t="shared" si="0"/>
        <v>9</v>
      </c>
      <c r="AX14" s="46"/>
      <c r="AY14" s="46"/>
    </row>
    <row r="15" spans="1:51">
      <c r="A15" s="1">
        <v>10</v>
      </c>
      <c r="B15" s="6" t="s">
        <v>163</v>
      </c>
      <c r="C15" s="9">
        <f t="shared" ref="C15:C23" si="2">HLOOKUP($C$6,$H$6:$BV$23,$G15,FALSE)</f>
        <v>-12.089963466177705</v>
      </c>
      <c r="D15" s="9">
        <f t="shared" ref="D15:D23" si="3">HLOOKUP($D$6,$H$6:$BV$23,$G15,FALSE)</f>
        <v>-8.7468030488326534</v>
      </c>
      <c r="E15" s="66">
        <f t="shared" ref="E15:E23" si="4">+D15/C15-1</f>
        <v>-0.27652361619600552</v>
      </c>
      <c r="G15" s="56">
        <f t="shared" si="0"/>
        <v>10</v>
      </c>
      <c r="H15" s="6" t="s">
        <v>163</v>
      </c>
      <c r="I15" s="9">
        <v>-6.6308545700000083</v>
      </c>
      <c r="J15" s="9">
        <v>-17.834364060000002</v>
      </c>
      <c r="K15" s="9">
        <v>-21.318247579999998</v>
      </c>
      <c r="L15" s="9">
        <v>-138.73017600999998</v>
      </c>
      <c r="M15" s="9">
        <v>-20.192410980000002</v>
      </c>
      <c r="N15" s="9">
        <v>-22.432699890000002</v>
      </c>
      <c r="O15" s="9">
        <v>-18.421275529999996</v>
      </c>
      <c r="P15" s="9">
        <v>-27.308815910000014</v>
      </c>
      <c r="Q15" s="9">
        <v>-16.977818299999992</v>
      </c>
      <c r="R15" s="9">
        <v>-26.800124760000003</v>
      </c>
      <c r="S15" s="9">
        <v>-16.719940419999993</v>
      </c>
      <c r="T15" s="9">
        <v>-24.917197690000002</v>
      </c>
      <c r="U15" s="9">
        <v>-19.604401199999995</v>
      </c>
      <c r="V15" s="9">
        <v>2.623021210000001</v>
      </c>
      <c r="W15" s="9">
        <v>-14.572214219999999</v>
      </c>
      <c r="X15" s="9">
        <v>-102.60787458999999</v>
      </c>
      <c r="Y15" s="9">
        <f t="shared" ref="Y15:AH15" si="5">SUM(Y9:Y13)</f>
        <v>-12.443038860000001</v>
      </c>
      <c r="Z15" s="9">
        <f t="shared" si="5"/>
        <v>-25.462410850000005</v>
      </c>
      <c r="AA15" s="9">
        <f t="shared" si="5"/>
        <v>-14.737552370000003</v>
      </c>
      <c r="AB15" s="9">
        <f t="shared" si="5"/>
        <v>-44.944271349999994</v>
      </c>
      <c r="AC15" s="9">
        <f>SUM(AC9:AC13)</f>
        <v>-15.2278413</v>
      </c>
      <c r="AD15" s="9">
        <f t="shared" si="5"/>
        <v>-17.997345240000001</v>
      </c>
      <c r="AE15" s="9">
        <f t="shared" si="5"/>
        <v>-23.310579799999999</v>
      </c>
      <c r="AF15" s="9">
        <f t="shared" si="5"/>
        <v>-93.356927600000006</v>
      </c>
      <c r="AG15" s="9">
        <f>SUM(AG9:AG13)</f>
        <v>-49.377285399999998</v>
      </c>
      <c r="AH15" s="9">
        <f t="shared" si="5"/>
        <v>-12.911768689999999</v>
      </c>
      <c r="AI15" s="9">
        <f t="shared" ref="AI15:AT15" si="6">SUM(AI9:AI13)</f>
        <v>-18.343538010000007</v>
      </c>
      <c r="AJ15" s="9">
        <f t="shared" si="6"/>
        <v>-20.672808236935449</v>
      </c>
      <c r="AK15" s="9">
        <f t="shared" si="6"/>
        <v>-36.077653113024901</v>
      </c>
      <c r="AL15" s="9">
        <f t="shared" si="6"/>
        <v>-33.462068015730701</v>
      </c>
      <c r="AM15" s="9">
        <f t="shared" si="6"/>
        <v>799.09281796000573</v>
      </c>
      <c r="AN15" s="9">
        <f t="shared" si="6"/>
        <v>-176.04105226939856</v>
      </c>
      <c r="AO15" s="9">
        <f t="shared" si="6"/>
        <v>-23.90028385635889</v>
      </c>
      <c r="AP15" s="9">
        <f t="shared" ref="AP15" si="7">SUM(AP9:AP13)</f>
        <v>-31.275214555974479</v>
      </c>
      <c r="AQ15" s="9">
        <f t="shared" si="6"/>
        <v>-26.169999999999995</v>
      </c>
      <c r="AR15" s="9">
        <f>SUM(AR9:AR13)</f>
        <v>-15.508240835945463</v>
      </c>
      <c r="AS15" s="9">
        <f t="shared" si="6"/>
        <v>-12.089963466177705</v>
      </c>
      <c r="AT15" s="9">
        <f t="shared" si="6"/>
        <v>94.268699487738417</v>
      </c>
      <c r="AU15" s="9">
        <f>SUM(AU9:AU13)</f>
        <v>9.453267060160405</v>
      </c>
      <c r="AV15" s="9">
        <v>-20.655675513091239</v>
      </c>
      <c r="AW15" s="9">
        <v>-8.7468030488326534</v>
      </c>
      <c r="AX15" s="46"/>
      <c r="AY15" s="46"/>
    </row>
    <row r="16" spans="1:51" ht="5.25" customHeight="1">
      <c r="A16" s="1">
        <v>11</v>
      </c>
      <c r="E16" s="38"/>
      <c r="G16" s="56">
        <f t="shared" si="0"/>
        <v>11</v>
      </c>
      <c r="AX16" s="46"/>
      <c r="AY16" s="46"/>
    </row>
    <row r="17" spans="1:51">
      <c r="A17" s="1">
        <v>12</v>
      </c>
      <c r="B17" s="6" t="s">
        <v>164</v>
      </c>
      <c r="C17" s="9">
        <f t="shared" si="2"/>
        <v>113.36032741377998</v>
      </c>
      <c r="D17" s="9">
        <f t="shared" si="3"/>
        <v>79.756497629362684</v>
      </c>
      <c r="E17" s="66">
        <f t="shared" si="4"/>
        <v>-0.29643377494631729</v>
      </c>
      <c r="G17" s="56">
        <f t="shared" si="0"/>
        <v>12</v>
      </c>
      <c r="H17" s="6" t="s">
        <v>164</v>
      </c>
      <c r="I17" s="9">
        <v>71.170038330000011</v>
      </c>
      <c r="J17" s="9">
        <v>76.810161420000014</v>
      </c>
      <c r="K17" s="9">
        <v>49.311618929999987</v>
      </c>
      <c r="L17" s="9">
        <v>-27.623299349999996</v>
      </c>
      <c r="M17" s="9">
        <v>25.133030360000038</v>
      </c>
      <c r="N17" s="9">
        <v>65.548682040000045</v>
      </c>
      <c r="O17" s="9">
        <v>113.60699054999998</v>
      </c>
      <c r="P17" s="9">
        <v>95.746828170000015</v>
      </c>
      <c r="Q17" s="9">
        <v>88.66899841</v>
      </c>
      <c r="R17" s="9">
        <v>68.086533309999965</v>
      </c>
      <c r="S17" s="9">
        <v>40.708289729999997</v>
      </c>
      <c r="T17" s="9">
        <v>66.803174149999961</v>
      </c>
      <c r="U17" s="9">
        <v>72.245809979999947</v>
      </c>
      <c r="V17" s="9">
        <v>97.849836280000019</v>
      </c>
      <c r="W17" s="9">
        <v>94.273412179999951</v>
      </c>
      <c r="X17" s="9">
        <v>48.758042970000048</v>
      </c>
      <c r="Y17" s="9">
        <v>90.744920930000035</v>
      </c>
      <c r="Z17" s="9">
        <v>65.639307059999965</v>
      </c>
      <c r="AA17" s="9">
        <v>83.029694280000029</v>
      </c>
      <c r="AB17" s="9">
        <f>99.94054904-AB40</f>
        <v>96.511982709999998</v>
      </c>
      <c r="AC17" s="9">
        <f>85.56234492-AC40</f>
        <v>83.69173524</v>
      </c>
      <c r="AD17" s="9">
        <v>81.263724620000033</v>
      </c>
      <c r="AE17" s="9">
        <f>81.32811843-AE40</f>
        <v>87.324650640000002</v>
      </c>
      <c r="AF17" s="9">
        <v>21.793171331313715</v>
      </c>
      <c r="AG17" s="9">
        <f>62.3968582-AG40</f>
        <v>63.109089509999997</v>
      </c>
      <c r="AH17" s="9">
        <f>72.1701592-AH40</f>
        <v>79.320968449999995</v>
      </c>
      <c r="AI17" s="9">
        <f>88.03666669-AI40</f>
        <v>91.066392160000007</v>
      </c>
      <c r="AJ17" s="9">
        <f>+-90.3962678490674-AJ40</f>
        <v>91.736542920932564</v>
      </c>
      <c r="AK17" s="9">
        <f>38.0623140364472-AK40</f>
        <v>37.867890736447201</v>
      </c>
      <c r="AL17" s="9">
        <f>32.8849414708408-AL40</f>
        <v>34.078006910840791</v>
      </c>
      <c r="AM17" s="9">
        <f>803.295471804277-AM40</f>
        <v>800.89430201427695</v>
      </c>
      <c r="AN17" s="9">
        <f>+-70.4643826836201-AN40</f>
        <v>-73.769562153620086</v>
      </c>
      <c r="AO17" s="9">
        <v>52.793280604383298</v>
      </c>
      <c r="AP17" s="9">
        <v>53.43652703288933</v>
      </c>
      <c r="AQ17" s="9">
        <v>109.08</v>
      </c>
      <c r="AR17" s="9">
        <f>180.015401873629-AR40</f>
        <v>162.16533593362897</v>
      </c>
      <c r="AS17" s="9">
        <f>122.34237741378-AS40</f>
        <v>113.36032741377998</v>
      </c>
      <c r="AT17" s="9">
        <v>186.532828356186</v>
      </c>
      <c r="AU17" s="9">
        <f>175.811279357242-AU40</f>
        <v>145.10802060724203</v>
      </c>
      <c r="AV17" s="9">
        <v>70.814463995710923</v>
      </c>
      <c r="AW17" s="9">
        <v>79.756497629362684</v>
      </c>
      <c r="AX17" s="46"/>
      <c r="AY17" s="46"/>
    </row>
    <row r="18" spans="1:51" ht="5.25" customHeight="1">
      <c r="A18" s="1">
        <v>13</v>
      </c>
      <c r="G18" s="56">
        <f t="shared" si="0"/>
        <v>13</v>
      </c>
      <c r="AX18" s="46"/>
      <c r="AY18" s="46"/>
    </row>
    <row r="19" spans="1:51">
      <c r="A19" s="1">
        <v>14</v>
      </c>
      <c r="B19" s="5" t="s">
        <v>165</v>
      </c>
      <c r="C19" s="8">
        <f t="shared" si="2"/>
        <v>-29.754651475485201</v>
      </c>
      <c r="D19" s="8">
        <f t="shared" si="3"/>
        <v>-20.483441256209641</v>
      </c>
      <c r="E19" s="47">
        <f t="shared" si="4"/>
        <v>-0.31158860075756867</v>
      </c>
      <c r="G19" s="56">
        <f t="shared" si="0"/>
        <v>14</v>
      </c>
      <c r="H19" s="5" t="s">
        <v>165</v>
      </c>
      <c r="I19" s="8">
        <v>-19.63363708</v>
      </c>
      <c r="J19" s="8">
        <v>-5.2345776500000003</v>
      </c>
      <c r="K19" s="8">
        <v>-31.107243130000001</v>
      </c>
      <c r="L19" s="8">
        <v>-53.664444459999999</v>
      </c>
      <c r="M19" s="8">
        <v>-18.16355287</v>
      </c>
      <c r="N19" s="8">
        <v>-15.449120819999997</v>
      </c>
      <c r="O19" s="8">
        <v>-37.890691470000007</v>
      </c>
      <c r="P19" s="8">
        <v>-28.099890070000001</v>
      </c>
      <c r="Q19" s="8">
        <v>-20.475529990000002</v>
      </c>
      <c r="R19" s="8">
        <v>-15.959445620000002</v>
      </c>
      <c r="S19" s="8">
        <v>-10.37750636</v>
      </c>
      <c r="T19" s="8">
        <v>-20.138336279999997</v>
      </c>
      <c r="U19" s="8">
        <v>-19.51456001</v>
      </c>
      <c r="V19" s="8">
        <v>-18.404707349999999</v>
      </c>
      <c r="W19" s="8">
        <v>-24.271699469999998</v>
      </c>
      <c r="X19" s="8">
        <v>24.603435990000001</v>
      </c>
      <c r="Y19" s="8">
        <v>-24.868095619999998</v>
      </c>
      <c r="Z19" s="8">
        <v>-17.507565499999998</v>
      </c>
      <c r="AA19" s="8">
        <v>-23.21371285</v>
      </c>
      <c r="AB19" s="8">
        <f>+-32.56690244-AB42</f>
        <v>-31.166902440000001</v>
      </c>
      <c r="AC19" s="8">
        <v>-22.319179689999999</v>
      </c>
      <c r="AD19" s="8">
        <v>-20.05861646</v>
      </c>
      <c r="AE19" s="8">
        <v>-23.721098949999998</v>
      </c>
      <c r="AF19" s="8">
        <v>-4.9040871400000006</v>
      </c>
      <c r="AG19" s="8">
        <v>-16.086163970000001</v>
      </c>
      <c r="AH19" s="8">
        <v>-20.604219349999997</v>
      </c>
      <c r="AI19" s="8">
        <v>-24.01398945</v>
      </c>
      <c r="AJ19" s="8">
        <f>27.5181410060612-AJ42</f>
        <v>-25.436300393938801</v>
      </c>
      <c r="AK19" s="8">
        <f>+-79.2784275638755-AK42</f>
        <v>-74.396957033875495</v>
      </c>
      <c r="AL19" s="8">
        <f>+-21.3957580661245-AL42</f>
        <v>-18.134583996124501</v>
      </c>
      <c r="AM19" s="8">
        <f>+-202.394526473331-AM42</f>
        <v>-193.42158571333101</v>
      </c>
      <c r="AN19" s="8">
        <f>18.0765510950566-AN42</f>
        <v>15.886317095056601</v>
      </c>
      <c r="AO19" s="8">
        <f>+-6.38948016242481-AO42</f>
        <v>-13.82311758242481</v>
      </c>
      <c r="AP19" s="8">
        <v>-13.464414997421038</v>
      </c>
      <c r="AQ19" s="8">
        <v>-28.65</v>
      </c>
      <c r="AR19" s="8">
        <f>+-43.8018539367949-AR42</f>
        <v>-40.874391956794895</v>
      </c>
      <c r="AS19" s="8">
        <f>+-30.3638468054852-AS42</f>
        <v>-29.754651475485201</v>
      </c>
      <c r="AT19" s="8">
        <v>-49.235472704137578</v>
      </c>
      <c r="AU19" s="8">
        <v>-36.887290267886129</v>
      </c>
      <c r="AV19" s="8">
        <v>-20.21331412082408</v>
      </c>
      <c r="AW19" s="8">
        <v>-20.483441256209641</v>
      </c>
      <c r="AX19" s="46"/>
      <c r="AY19" s="46"/>
    </row>
    <row r="20" spans="1:51" ht="5.25" customHeight="1">
      <c r="A20" s="1">
        <v>15</v>
      </c>
      <c r="E20" s="80"/>
      <c r="G20" s="56">
        <f t="shared" si="0"/>
        <v>15</v>
      </c>
      <c r="AX20" s="46"/>
      <c r="AY20" s="46"/>
    </row>
    <row r="21" spans="1:51">
      <c r="A21" s="1">
        <v>16</v>
      </c>
      <c r="B21" s="3" t="s">
        <v>166</v>
      </c>
      <c r="C21" s="16">
        <f t="shared" si="2"/>
        <v>83.60567593829478</v>
      </c>
      <c r="D21" s="16">
        <f t="shared" si="3"/>
        <v>59.27305637315304</v>
      </c>
      <c r="E21" s="48">
        <f t="shared" si="4"/>
        <v>-0.29104028275664495</v>
      </c>
      <c r="G21" s="56">
        <f t="shared" si="0"/>
        <v>16</v>
      </c>
      <c r="H21" s="3" t="s">
        <v>166</v>
      </c>
      <c r="I21" s="16">
        <v>51.536401250000011</v>
      </c>
      <c r="J21" s="16">
        <v>71.575583770000009</v>
      </c>
      <c r="K21" s="16">
        <v>18.204375799999987</v>
      </c>
      <c r="L21" s="16">
        <v>-81.287743809999995</v>
      </c>
      <c r="M21" s="16">
        <v>6.9694774900000382</v>
      </c>
      <c r="N21" s="16">
        <v>50.099561220000048</v>
      </c>
      <c r="O21" s="16">
        <v>75.71629907999997</v>
      </c>
      <c r="P21" s="16">
        <v>67.646938100000014</v>
      </c>
      <c r="Q21" s="16">
        <v>68.193468420000002</v>
      </c>
      <c r="R21" s="16">
        <v>52.127087689999961</v>
      </c>
      <c r="S21" s="16">
        <v>30.330783369999999</v>
      </c>
      <c r="T21" s="16">
        <v>46.664837869999964</v>
      </c>
      <c r="U21" s="16">
        <f>+U17+U19</f>
        <v>52.731249969999951</v>
      </c>
      <c r="V21" s="16">
        <f t="shared" ref="V21:AB21" si="8">+V17+V19</f>
        <v>79.445128930000024</v>
      </c>
      <c r="W21" s="16">
        <f t="shared" si="8"/>
        <v>70.00171270999995</v>
      </c>
      <c r="X21" s="16">
        <f t="shared" si="8"/>
        <v>73.361478960000056</v>
      </c>
      <c r="Y21" s="16">
        <f t="shared" si="8"/>
        <v>65.876825310000044</v>
      </c>
      <c r="Z21" s="16">
        <f t="shared" si="8"/>
        <v>48.131741559999966</v>
      </c>
      <c r="AA21" s="16">
        <f t="shared" si="8"/>
        <v>59.815981430000029</v>
      </c>
      <c r="AB21" s="16">
        <f t="shared" si="8"/>
        <v>65.345080269999997</v>
      </c>
      <c r="AC21" s="16">
        <f>+AC17+AC19</f>
        <v>61.372555550000001</v>
      </c>
      <c r="AD21" s="16">
        <f t="shared" ref="AD21:AG21" si="9">+AD17+AD19</f>
        <v>61.205108160000037</v>
      </c>
      <c r="AE21" s="16">
        <f t="shared" si="9"/>
        <v>63.603551690000003</v>
      </c>
      <c r="AF21" s="16">
        <f t="shared" si="9"/>
        <v>16.889084191313714</v>
      </c>
      <c r="AG21" s="16">
        <f t="shared" si="9"/>
        <v>47.022925539999996</v>
      </c>
      <c r="AH21" s="16">
        <f>+AH17+AH19</f>
        <v>58.716749100000001</v>
      </c>
      <c r="AI21" s="16">
        <f>62.20715213-AI46</f>
        <v>64.605734240000004</v>
      </c>
      <c r="AJ21" s="16">
        <f t="shared" ref="AJ21" si="10">+AJ17+AJ19</f>
        <v>66.30024252699377</v>
      </c>
      <c r="AK21" s="16">
        <f>+-41.2161135274282-AK44</f>
        <v>-36.529066297428194</v>
      </c>
      <c r="AL21" s="16">
        <f>32.8849414708408-AL44</f>
        <v>37.339180980840787</v>
      </c>
      <c r="AM21" s="16">
        <f>600.900945330946-AM44</f>
        <v>607.47271630094599</v>
      </c>
      <c r="AN21" s="16">
        <f>+-52.3878315885635-AN44</f>
        <v>-57.883245058563475</v>
      </c>
      <c r="AO21" s="16">
        <f>55.8799637719585-AO44</f>
        <v>38.970163021958498</v>
      </c>
      <c r="AP21" s="16">
        <v>40</v>
      </c>
      <c r="AQ21" s="16">
        <v>80.400000000000006</v>
      </c>
      <c r="AR21" s="16">
        <f>+AR17+AR19</f>
        <v>121.29094397683407</v>
      </c>
      <c r="AS21" s="16">
        <f>+AS17+AS19</f>
        <v>83.60567593829478</v>
      </c>
      <c r="AT21" s="16">
        <v>137.72613029204786</v>
      </c>
      <c r="AU21" s="16">
        <v>108.24676475161203</v>
      </c>
      <c r="AV21" s="16">
        <v>50.601149874886858</v>
      </c>
      <c r="AW21" s="16">
        <v>59.27305637315304</v>
      </c>
      <c r="AX21" s="46"/>
      <c r="AY21" s="46"/>
    </row>
    <row r="22" spans="1:51" ht="5.25" customHeight="1">
      <c r="A22" s="1">
        <v>17</v>
      </c>
      <c r="E22" s="89"/>
      <c r="G22" s="56">
        <f t="shared" si="0"/>
        <v>17</v>
      </c>
    </row>
    <row r="23" spans="1:51">
      <c r="A23" s="1">
        <v>18</v>
      </c>
      <c r="B23" s="5" t="s">
        <v>167</v>
      </c>
      <c r="C23" s="8">
        <f t="shared" si="2"/>
        <v>82.961184882994701</v>
      </c>
      <c r="D23" s="8">
        <f t="shared" si="3"/>
        <v>58.898262053252317</v>
      </c>
      <c r="E23" s="47">
        <f t="shared" si="4"/>
        <v>-0.29005037553019297</v>
      </c>
      <c r="G23" s="56">
        <f t="shared" si="0"/>
        <v>18</v>
      </c>
      <c r="H23" s="5" t="s">
        <v>167</v>
      </c>
      <c r="I23" s="8">
        <v>51.536401250000011</v>
      </c>
      <c r="J23" s="8">
        <v>71.575583770000009</v>
      </c>
      <c r="K23" s="8">
        <v>18.204375799999987</v>
      </c>
      <c r="L23" s="8">
        <v>-81.287743809999995</v>
      </c>
      <c r="M23" s="8">
        <v>6.9694774900000382</v>
      </c>
      <c r="N23" s="8">
        <v>50.099561220000048</v>
      </c>
      <c r="O23" s="8">
        <v>75.71629907999997</v>
      </c>
      <c r="P23" s="8">
        <v>71.02076169</v>
      </c>
      <c r="Q23" s="8">
        <v>72.197047319999996</v>
      </c>
      <c r="R23" s="8">
        <v>51.513318689999998</v>
      </c>
      <c r="S23" s="8">
        <v>29.363564220000001</v>
      </c>
      <c r="T23" s="8">
        <v>48.355100460000003</v>
      </c>
      <c r="U23" s="8">
        <v>56.902500880000005</v>
      </c>
      <c r="V23" s="8">
        <v>67.315819309999995</v>
      </c>
      <c r="W23" s="8">
        <v>70.133168250000011</v>
      </c>
      <c r="X23" s="8">
        <v>76.633404929999998</v>
      </c>
      <c r="Y23" s="8">
        <v>65.157573959999993</v>
      </c>
      <c r="Z23" s="8">
        <v>46.496960739999999</v>
      </c>
      <c r="AA23" s="8">
        <v>56.817234620000008</v>
      </c>
      <c r="AB23" s="8">
        <v>71.850721269999994</v>
      </c>
      <c r="AC23" s="8">
        <v>64.403329459999995</v>
      </c>
      <c r="AD23" s="8">
        <v>61.31662017</v>
      </c>
      <c r="AE23" s="8">
        <v>59.087229970000003</v>
      </c>
      <c r="AF23" s="8">
        <v>18.238692839152353</v>
      </c>
      <c r="AG23" s="8">
        <v>43.699793619999994</v>
      </c>
      <c r="AH23" s="8">
        <v>54.130137500000004</v>
      </c>
      <c r="AI23" s="8">
        <f>64.60573424-AI46</f>
        <v>67.004316350000011</v>
      </c>
      <c r="AJ23" s="8">
        <f>0.457418776993812-AJ46</f>
        <v>66.338387155693781</v>
      </c>
      <c r="AK23" s="8">
        <v>-38.892376677428295</v>
      </c>
      <c r="AL23" s="8">
        <v>35.09246243742836</v>
      </c>
      <c r="AM23" s="8">
        <v>604.15234692999991</v>
      </c>
      <c r="AN23" s="8">
        <f>+AN21-AN46</f>
        <v>-60.547201808563479</v>
      </c>
      <c r="AO23" s="8">
        <f t="shared" ref="AO23:AR23" si="11">+AO21-AO46</f>
        <v>30.710184041958499</v>
      </c>
      <c r="AP23" s="8">
        <f t="shared" si="11"/>
        <v>41.130482450000009</v>
      </c>
      <c r="AQ23" s="8">
        <f t="shared" si="11"/>
        <v>80.400000000000006</v>
      </c>
      <c r="AR23" s="8">
        <f t="shared" si="11"/>
        <v>113.68041595723406</v>
      </c>
      <c r="AS23" s="8">
        <f>87.9011691382947-AS46</f>
        <v>82.961184882994701</v>
      </c>
      <c r="AT23" s="8">
        <f>133.936079752048-AT46</f>
        <v>137.778572250548</v>
      </c>
      <c r="AU23" s="8">
        <f>117.717456127863-AU46</f>
        <v>108.17294215906301</v>
      </c>
      <c r="AV23" s="8">
        <f>53.932438174887-AV46</f>
        <v>50.629116601070244</v>
      </c>
      <c r="AW23" s="8">
        <f>58.6363040968098-AW46</f>
        <v>58.898262053252317</v>
      </c>
    </row>
    <row r="24" spans="1:51">
      <c r="AG24" s="46"/>
    </row>
    <row r="25" spans="1:51">
      <c r="AQ25" s="46"/>
      <c r="AR25" s="46"/>
      <c r="AS25" s="46"/>
      <c r="AT25" s="46"/>
      <c r="AU25" s="46"/>
      <c r="AV25" s="46"/>
      <c r="AW25" s="46"/>
    </row>
    <row r="26" spans="1:51">
      <c r="U26" s="32"/>
      <c r="V26" s="32"/>
      <c r="W26" s="32"/>
      <c r="X26" s="32"/>
      <c r="Y26" s="32"/>
      <c r="Z26" s="32"/>
      <c r="AA26" s="32"/>
      <c r="AB26" s="32"/>
      <c r="AC26" s="32"/>
      <c r="AD26" s="32"/>
      <c r="AE26" s="32"/>
      <c r="AF26" s="32"/>
      <c r="AG26" s="32"/>
      <c r="AH26" s="32"/>
      <c r="AI26" s="32"/>
      <c r="AJ26" s="32"/>
      <c r="AK26" s="32"/>
      <c r="AL26" s="32"/>
      <c r="AM26" s="32"/>
      <c r="AN26" s="32"/>
      <c r="AO26" s="32"/>
    </row>
    <row r="28" spans="1:51" ht="23.5">
      <c r="B28" s="11" t="s">
        <v>37</v>
      </c>
      <c r="C28" s="12"/>
      <c r="D28" s="12"/>
      <c r="E28" s="12"/>
      <c r="H28" s="11" t="s">
        <v>37</v>
      </c>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row>
    <row r="29" spans="1:51" ht="5.25" customHeight="1"/>
    <row r="30" spans="1:51" ht="15.75" customHeight="1">
      <c r="A30" s="1">
        <v>1</v>
      </c>
      <c r="B30" s="3" t="s">
        <v>186</v>
      </c>
      <c r="C30" s="139" t="str">
        <f>C6</f>
        <v>1Q23</v>
      </c>
      <c r="D30" s="139" t="str">
        <f>D6</f>
        <v>1Q24</v>
      </c>
      <c r="E30" s="139" t="s">
        <v>75</v>
      </c>
      <c r="G30" s="56">
        <v>1</v>
      </c>
      <c r="H30" s="3" t="s">
        <v>186</v>
      </c>
      <c r="I30" s="139" t="s">
        <v>77</v>
      </c>
      <c r="J30" s="139" t="s">
        <v>78</v>
      </c>
      <c r="K30" s="139" t="s">
        <v>79</v>
      </c>
      <c r="L30" s="139" t="s">
        <v>80</v>
      </c>
      <c r="M30" s="139" t="s">
        <v>81</v>
      </c>
      <c r="N30" s="139" t="s">
        <v>82</v>
      </c>
      <c r="O30" s="139" t="s">
        <v>83</v>
      </c>
      <c r="P30" s="139" t="s">
        <v>84</v>
      </c>
      <c r="Q30" s="139" t="s">
        <v>85</v>
      </c>
      <c r="R30" s="139" t="s">
        <v>86</v>
      </c>
      <c r="S30" s="139" t="s">
        <v>87</v>
      </c>
      <c r="T30" s="139" t="s">
        <v>88</v>
      </c>
      <c r="U30" s="139" t="s">
        <v>89</v>
      </c>
      <c r="V30" s="139" t="s">
        <v>90</v>
      </c>
      <c r="W30" s="139" t="s">
        <v>91</v>
      </c>
      <c r="X30" s="139" t="s">
        <v>92</v>
      </c>
      <c r="Y30" s="139" t="s">
        <v>93</v>
      </c>
      <c r="Z30" s="139" t="s">
        <v>94</v>
      </c>
      <c r="AA30" s="139" t="s">
        <v>95</v>
      </c>
      <c r="AB30" s="139" t="s">
        <v>96</v>
      </c>
      <c r="AC30" s="139" t="s">
        <v>97</v>
      </c>
      <c r="AD30" s="139" t="s">
        <v>98</v>
      </c>
      <c r="AE30" s="139" t="s">
        <v>99</v>
      </c>
      <c r="AF30" s="139" t="s">
        <v>100</v>
      </c>
      <c r="AG30" s="139" t="s">
        <v>101</v>
      </c>
      <c r="AH30" s="139" t="s">
        <v>102</v>
      </c>
      <c r="AI30" s="139" t="s">
        <v>103</v>
      </c>
      <c r="AJ30" s="139" t="s">
        <v>104</v>
      </c>
      <c r="AK30" s="139" t="s">
        <v>105</v>
      </c>
      <c r="AL30" s="139" t="s">
        <v>106</v>
      </c>
      <c r="AM30" s="139" t="s">
        <v>107</v>
      </c>
      <c r="AN30" s="139" t="s">
        <v>108</v>
      </c>
      <c r="AO30" s="139" t="s">
        <v>109</v>
      </c>
      <c r="AP30" s="139" t="s">
        <v>110</v>
      </c>
      <c r="AQ30" s="139" t="s">
        <v>111</v>
      </c>
      <c r="AR30" s="139" t="s">
        <v>112</v>
      </c>
      <c r="AS30" s="139" t="s">
        <v>73</v>
      </c>
      <c r="AT30" s="139" t="s">
        <v>113</v>
      </c>
      <c r="AU30" s="139" t="s">
        <v>114</v>
      </c>
      <c r="AV30" s="139" t="s">
        <v>115</v>
      </c>
      <c r="AW30" s="139" t="s">
        <v>74</v>
      </c>
    </row>
    <row r="31" spans="1:51">
      <c r="A31" s="1">
        <v>2</v>
      </c>
      <c r="B31" s="3" t="s">
        <v>141</v>
      </c>
      <c r="C31" s="139"/>
      <c r="D31" s="139"/>
      <c r="E31" s="139"/>
      <c r="G31" s="56">
        <f>G30+1</f>
        <v>2</v>
      </c>
      <c r="H31" s="3" t="s">
        <v>141</v>
      </c>
      <c r="I31" s="139"/>
      <c r="J31" s="139"/>
      <c r="K31" s="139"/>
      <c r="L31" s="139"/>
      <c r="M31" s="139"/>
      <c r="N31" s="139"/>
      <c r="O31" s="139"/>
      <c r="P31" s="139"/>
      <c r="Q31" s="139"/>
      <c r="R31" s="139"/>
      <c r="S31" s="139"/>
      <c r="T31" s="139"/>
      <c r="U31" s="139"/>
      <c r="V31" s="139"/>
      <c r="W31" s="139"/>
      <c r="X31" s="139"/>
      <c r="Y31" s="139"/>
      <c r="Z31" s="139"/>
      <c r="AA31" s="139"/>
      <c r="AB31" s="139"/>
      <c r="AC31" s="139"/>
      <c r="AD31" s="139"/>
      <c r="AE31" s="139"/>
      <c r="AF31" s="139"/>
      <c r="AG31" s="139"/>
      <c r="AH31" s="139"/>
      <c r="AI31" s="139"/>
      <c r="AJ31" s="139"/>
      <c r="AK31" s="139"/>
      <c r="AL31" s="139"/>
      <c r="AM31" s="139"/>
      <c r="AN31" s="139"/>
      <c r="AO31" s="139"/>
      <c r="AP31" s="139"/>
      <c r="AQ31" s="139"/>
      <c r="AR31" s="139"/>
      <c r="AS31" s="139"/>
      <c r="AT31" s="139"/>
      <c r="AU31" s="139"/>
      <c r="AV31" s="139"/>
      <c r="AW31" s="139"/>
    </row>
    <row r="32" spans="1:51" ht="5.25" customHeight="1">
      <c r="A32" s="1">
        <v>3</v>
      </c>
      <c r="G32" s="56">
        <f t="shared" ref="G32:G47" si="12">G31+1</f>
        <v>3</v>
      </c>
    </row>
    <row r="33" spans="1:51">
      <c r="A33" s="1">
        <v>4</v>
      </c>
      <c r="B33" s="5" t="s">
        <v>158</v>
      </c>
      <c r="C33" s="8">
        <f t="shared" ref="C33:C47" si="13">HLOOKUP($C$30,$H$30:$BX$47,$G33,FALSE)</f>
        <v>0.57678616000000005</v>
      </c>
      <c r="D33" s="8">
        <f t="shared" ref="D33:D47" si="14">HLOOKUP($D$30,$H$30:$BX$47,$G33,FALSE)</f>
        <v>0.37370549000000253</v>
      </c>
      <c r="E33" s="35">
        <f t="shared" ref="E33:E47" si="15">+D33/C33-1</f>
        <v>-0.35209005361709356</v>
      </c>
      <c r="G33" s="56">
        <f t="shared" si="12"/>
        <v>4</v>
      </c>
      <c r="H33" s="5" t="s">
        <v>158</v>
      </c>
      <c r="I33" s="17"/>
      <c r="J33" s="17"/>
      <c r="K33" s="17"/>
      <c r="L33" s="17"/>
      <c r="M33" s="17"/>
      <c r="N33" s="17"/>
      <c r="O33" s="17"/>
      <c r="P33" s="17"/>
      <c r="Q33" s="8">
        <v>0.16734481000000001</v>
      </c>
      <c r="R33" s="8">
        <v>0.10720837999999999</v>
      </c>
      <c r="S33" s="8">
        <v>0.13487674000000002</v>
      </c>
      <c r="T33" s="8">
        <v>0.16597401000000001</v>
      </c>
      <c r="U33" s="8">
        <v>0.12006236000000001</v>
      </c>
      <c r="V33" s="8">
        <v>0.15038306000000001</v>
      </c>
      <c r="W33" s="8">
        <v>0.15893979</v>
      </c>
      <c r="X33" s="8">
        <v>0.20325471000000001</v>
      </c>
      <c r="Y33" s="8">
        <v>0.22173541999999999</v>
      </c>
      <c r="Z33" s="8">
        <v>0.21593708</v>
      </c>
      <c r="AA33" s="8">
        <v>0.29301841000000001</v>
      </c>
      <c r="AB33" s="8">
        <v>0.3</v>
      </c>
      <c r="AC33" s="8">
        <v>0.14140221000000003</v>
      </c>
      <c r="AD33" s="8">
        <v>7.2432910000000003E-2</v>
      </c>
      <c r="AE33" s="8">
        <v>0.10292943000000002</v>
      </c>
      <c r="AF33" s="8">
        <v>0.29090677999999998</v>
      </c>
      <c r="AG33" s="8">
        <v>0.13774836000000001</v>
      </c>
      <c r="AH33" s="8">
        <v>0.12062782000000001</v>
      </c>
      <c r="AI33" s="8">
        <v>0.30203630999999997</v>
      </c>
      <c r="AJ33" s="8">
        <v>0.15692397000000002</v>
      </c>
      <c r="AK33" s="8">
        <v>5.6700750000000001E-2</v>
      </c>
      <c r="AL33" s="8">
        <v>5.4609320000000031E-2</v>
      </c>
      <c r="AM33" s="8">
        <v>2.9457709999999984E-2</v>
      </c>
      <c r="AN33" s="8">
        <v>4.4933090000000009E-2</v>
      </c>
      <c r="AO33" s="8">
        <v>8.7136889999999995E-2</v>
      </c>
      <c r="AP33" s="8">
        <v>-0.26474429999999999</v>
      </c>
      <c r="AQ33" s="8">
        <v>0.22</v>
      </c>
      <c r="AR33" s="8">
        <v>0.34346562999999997</v>
      </c>
      <c r="AS33" s="8">
        <v>0.57678616000000005</v>
      </c>
      <c r="AT33" s="8">
        <v>0.45472809000000003</v>
      </c>
      <c r="AU33" s="8">
        <v>0.4872287099999999</v>
      </c>
      <c r="AV33" s="8">
        <v>0.48817739999999998</v>
      </c>
      <c r="AW33" s="8">
        <f>15.29416582-AW9</f>
        <v>0.37370549000000253</v>
      </c>
    </row>
    <row r="34" spans="1:51">
      <c r="A34" s="1">
        <v>5</v>
      </c>
      <c r="B34" s="5" t="s">
        <v>159</v>
      </c>
      <c r="C34" s="8">
        <f t="shared" si="13"/>
        <v>-5.8913562300000004</v>
      </c>
      <c r="D34" s="8">
        <f t="shared" si="14"/>
        <v>-5.3548548301058965</v>
      </c>
      <c r="E34" s="35">
        <f t="shared" si="15"/>
        <v>-9.1065856306927762E-2</v>
      </c>
      <c r="G34" s="56">
        <f t="shared" si="12"/>
        <v>5</v>
      </c>
      <c r="H34" s="5" t="s">
        <v>159</v>
      </c>
      <c r="I34" s="17"/>
      <c r="J34" s="17"/>
      <c r="K34" s="17"/>
      <c r="L34" s="17"/>
      <c r="M34" s="17"/>
      <c r="N34" s="17"/>
      <c r="O34" s="17"/>
      <c r="P34" s="17"/>
      <c r="Q34" s="8">
        <v>-5.4290698400000004</v>
      </c>
      <c r="R34" s="8">
        <v>-2.6430212500000003</v>
      </c>
      <c r="S34" s="8">
        <v>-3.1599592999999997</v>
      </c>
      <c r="T34" s="8">
        <v>-3.4266343500000005</v>
      </c>
      <c r="U34" s="8">
        <v>-3.1524754499999998</v>
      </c>
      <c r="V34" s="8">
        <v>-3.23840606</v>
      </c>
      <c r="W34" s="8">
        <v>-3.7317871299999998</v>
      </c>
      <c r="X34" s="8">
        <v>-4.6476371400000005</v>
      </c>
      <c r="Y34" s="8">
        <v>-4.4800314999999999</v>
      </c>
      <c r="Z34" s="8">
        <v>-4.6873543600000005</v>
      </c>
      <c r="AA34" s="8">
        <v>-4.5787013100000005</v>
      </c>
      <c r="AB34" s="8">
        <v>-4.5999999999999996</v>
      </c>
      <c r="AC34" s="8">
        <v>-4.5996143200000006</v>
      </c>
      <c r="AD34" s="8">
        <v>-8.8851827300000004</v>
      </c>
      <c r="AE34" s="8">
        <v>-7.0326609199999996</v>
      </c>
      <c r="AF34" s="8">
        <v>-6.6142838900000003</v>
      </c>
      <c r="AG34" s="8">
        <v>-6.8489455400000008</v>
      </c>
      <c r="AH34" s="8">
        <v>-6.6069460400000004</v>
      </c>
      <c r="AI34" s="8">
        <v>-6.9407399600000002</v>
      </c>
      <c r="AJ34" s="8">
        <v>-6.4448288399999996</v>
      </c>
      <c r="AK34" s="8">
        <v>-6.62607137</v>
      </c>
      <c r="AL34" s="8">
        <v>-6.2193137600000012</v>
      </c>
      <c r="AM34" s="8">
        <v>-6.6041082399999977</v>
      </c>
      <c r="AN34" s="8">
        <v>-6.0329441700000013</v>
      </c>
      <c r="AO34" s="8">
        <v>-6.2768358500000003</v>
      </c>
      <c r="AP34" s="8">
        <v>-5.8283171299999994</v>
      </c>
      <c r="AQ34" s="8">
        <v>-6.28</v>
      </c>
      <c r="AR34" s="8">
        <v>-5.6869517300000094</v>
      </c>
      <c r="AS34" s="8">
        <v>-5.8913562300000004</v>
      </c>
      <c r="AT34" s="8">
        <v>-5.6424730500000004</v>
      </c>
      <c r="AU34" s="8">
        <v>-5.9947677399999959</v>
      </c>
      <c r="AV34" s="8">
        <v>-5.5218727000000074</v>
      </c>
      <c r="AW34" s="8">
        <f>-18.4-AW10</f>
        <v>-5.3548548301058965</v>
      </c>
      <c r="AY34" s="50"/>
    </row>
    <row r="35" spans="1:51" ht="11.15" customHeight="1">
      <c r="A35" s="1">
        <v>6</v>
      </c>
      <c r="B35" s="5" t="s">
        <v>160</v>
      </c>
      <c r="C35" s="8">
        <f t="shared" si="13"/>
        <v>0.29978549999999993</v>
      </c>
      <c r="D35" s="8">
        <f t="shared" si="14"/>
        <v>-1.9471766701931625E-2</v>
      </c>
      <c r="E35" s="35">
        <f t="shared" si="15"/>
        <v>-1.0649523299223334</v>
      </c>
      <c r="G35" s="56">
        <f t="shared" si="12"/>
        <v>6</v>
      </c>
      <c r="H35" s="5" t="s">
        <v>160</v>
      </c>
      <c r="I35" s="17"/>
      <c r="J35" s="17"/>
      <c r="K35" s="17"/>
      <c r="L35" s="17"/>
      <c r="M35" s="17"/>
      <c r="N35" s="17"/>
      <c r="O35" s="17"/>
      <c r="P35" s="17"/>
      <c r="Q35" s="8">
        <v>1.37017937</v>
      </c>
      <c r="R35" s="8">
        <v>5.1786280000000143E-2</v>
      </c>
      <c r="S35" s="8">
        <v>-0.63739566000000003</v>
      </c>
      <c r="T35" s="8">
        <v>0.54193233000000018</v>
      </c>
      <c r="U35" s="8">
        <v>1.7152532300000001</v>
      </c>
      <c r="V35" s="8">
        <v>-0.15405724000000004</v>
      </c>
      <c r="W35" s="8">
        <v>-4.9148570000000009E-2</v>
      </c>
      <c r="X35" s="8">
        <v>0.7605646800000001</v>
      </c>
      <c r="Y35" s="8">
        <v>-0.19138833000000002</v>
      </c>
      <c r="Z35" s="8">
        <v>-0.64872458000000011</v>
      </c>
      <c r="AA35" s="8">
        <v>-0.36723388000000001</v>
      </c>
      <c r="AB35" s="8">
        <v>-0.7</v>
      </c>
      <c r="AC35" s="8">
        <v>0.74991217999999993</v>
      </c>
      <c r="AD35" s="8">
        <v>0.29622432000000004</v>
      </c>
      <c r="AE35" s="8">
        <v>-1.03815916</v>
      </c>
      <c r="AF35" s="8">
        <v>0.91169089000000003</v>
      </c>
      <c r="AG35" s="8">
        <v>-1.33876522</v>
      </c>
      <c r="AH35" s="8">
        <v>-1.4948663100000001</v>
      </c>
      <c r="AI35" s="8">
        <v>-0.18466715999999991</v>
      </c>
      <c r="AJ35" s="8">
        <v>-0.18658278000000017</v>
      </c>
      <c r="AK35" s="8">
        <v>-1.01300134</v>
      </c>
      <c r="AL35" s="8">
        <v>-0.36018585000000042</v>
      </c>
      <c r="AM35" s="8">
        <v>-1.5289263600000003</v>
      </c>
      <c r="AN35" s="8">
        <v>1.2431431700000002</v>
      </c>
      <c r="AO35" s="8">
        <v>1.18526</v>
      </c>
      <c r="AP35" s="8">
        <v>-0.93457182999999999</v>
      </c>
      <c r="AQ35" s="8">
        <v>-0.52</v>
      </c>
      <c r="AR35" s="8">
        <v>0.92341164000000031</v>
      </c>
      <c r="AS35" s="8">
        <v>0.29978549999999993</v>
      </c>
      <c r="AT35" s="8">
        <v>1.5872115600000005</v>
      </c>
      <c r="AU35" s="8">
        <v>-2.0169218100000004</v>
      </c>
      <c r="AV35" s="8">
        <v>0.31644937999999967</v>
      </c>
      <c r="AW35" s="8">
        <f>0.6-AW11</f>
        <v>-1.9471766701931625E-2</v>
      </c>
      <c r="AY35" s="50"/>
    </row>
    <row r="36" spans="1:51">
      <c r="A36" s="1">
        <v>7</v>
      </c>
      <c r="B36" s="5" t="s">
        <v>162</v>
      </c>
      <c r="C36" s="8">
        <f t="shared" si="13"/>
        <v>-2.04601649</v>
      </c>
      <c r="D36" s="8">
        <f t="shared" si="14"/>
        <v>-2.8516140743595209</v>
      </c>
      <c r="E36" s="47">
        <f t="shared" si="15"/>
        <v>0.3937395364587315</v>
      </c>
      <c r="G36" s="56">
        <f t="shared" si="12"/>
        <v>7</v>
      </c>
      <c r="H36" s="5" t="s">
        <v>162</v>
      </c>
      <c r="I36" s="17"/>
      <c r="J36" s="17"/>
      <c r="K36" s="17"/>
      <c r="L36" s="17"/>
      <c r="M36" s="17"/>
      <c r="N36" s="17"/>
      <c r="O36" s="17"/>
      <c r="P36" s="17"/>
      <c r="Q36" s="8">
        <v>8.1903610000000002E-2</v>
      </c>
      <c r="R36" s="8">
        <v>-0.66449632999999997</v>
      </c>
      <c r="S36" s="8">
        <v>-0.93240374000000004</v>
      </c>
      <c r="T36" s="8">
        <v>-2.4909673299999997</v>
      </c>
      <c r="U36" s="8">
        <v>-9.0029509999999993E-2</v>
      </c>
      <c r="V36" s="8">
        <v>-0.27538590000000007</v>
      </c>
      <c r="W36" s="8">
        <v>-0.86470300999999994</v>
      </c>
      <c r="X36" s="8">
        <v>1.29653671</v>
      </c>
      <c r="Y36" s="8">
        <v>-1.9960490000000004E-2</v>
      </c>
      <c r="Z36" s="8">
        <v>-0.42020362000000006</v>
      </c>
      <c r="AA36" s="8">
        <v>-0.77467500999999994</v>
      </c>
      <c r="AB36" s="8">
        <v>-0.3</v>
      </c>
      <c r="AC36" s="8">
        <v>1.4406092899999998</v>
      </c>
      <c r="AD36" s="8">
        <v>-0.87173263000000001</v>
      </c>
      <c r="AE36" s="8">
        <v>-2.2558826700000001</v>
      </c>
      <c r="AF36" s="8">
        <v>-1.4757564699999999</v>
      </c>
      <c r="AG36" s="8">
        <v>-1.0997716499999999</v>
      </c>
      <c r="AH36" s="8">
        <v>-1.2178332700000001</v>
      </c>
      <c r="AI36" s="8">
        <v>0.32024835999999812</v>
      </c>
      <c r="AJ36" s="8">
        <v>-180.23959754999998</v>
      </c>
      <c r="AK36" s="8">
        <v>-0.2058789</v>
      </c>
      <c r="AL36" s="8">
        <v>-0.33867450999999976</v>
      </c>
      <c r="AM36" s="8">
        <v>-0.57771620000000001</v>
      </c>
      <c r="AN36" s="8">
        <v>-1.2943995699999997</v>
      </c>
      <c r="AO36" s="8">
        <v>-1.59591174</v>
      </c>
      <c r="AP36" s="8">
        <v>-2.5424426100000002</v>
      </c>
      <c r="AQ36" s="8">
        <v>-1.38</v>
      </c>
      <c r="AR36" s="8">
        <v>-2.3350754799999986</v>
      </c>
      <c r="AS36" s="8">
        <v>-2.04601649</v>
      </c>
      <c r="AT36" s="8">
        <v>-1.9098621800000006</v>
      </c>
      <c r="AU36" s="8">
        <v>-2.3937623899999996</v>
      </c>
      <c r="AV36" s="8">
        <v>-2.9546811799999992</v>
      </c>
      <c r="AW36" s="8">
        <f>-17.1-AW13</f>
        <v>-2.8516140743595209</v>
      </c>
      <c r="AY36" s="46"/>
    </row>
    <row r="37" spans="1:51" ht="5.15" customHeight="1">
      <c r="A37" s="1">
        <v>8</v>
      </c>
      <c r="E37" s="64"/>
      <c r="G37" s="56">
        <f t="shared" si="12"/>
        <v>8</v>
      </c>
      <c r="S37" s="14"/>
    </row>
    <row r="38" spans="1:51">
      <c r="A38" s="1">
        <v>9</v>
      </c>
      <c r="B38" s="6" t="s">
        <v>163</v>
      </c>
      <c r="C38" s="9">
        <f t="shared" si="13"/>
        <v>-7.0608010600000011</v>
      </c>
      <c r="D38" s="9">
        <f t="shared" si="14"/>
        <v>-7.8584596400000457</v>
      </c>
      <c r="E38" s="66">
        <f t="shared" si="15"/>
        <v>0.11296998360693711</v>
      </c>
      <c r="G38" s="56">
        <f t="shared" si="12"/>
        <v>9</v>
      </c>
      <c r="H38" s="6" t="s">
        <v>163</v>
      </c>
      <c r="I38" s="18"/>
      <c r="J38" s="18"/>
      <c r="K38" s="18"/>
      <c r="L38" s="18"/>
      <c r="M38" s="18"/>
      <c r="N38" s="18"/>
      <c r="O38" s="18"/>
      <c r="P38" s="18"/>
      <c r="Q38" s="9">
        <v>-3.8096420500000003</v>
      </c>
      <c r="R38" s="9">
        <v>-3.1485229200000004</v>
      </c>
      <c r="S38" s="9">
        <v>-4.5948819599999995</v>
      </c>
      <c r="T38" s="9">
        <v>-5.2096953399999997</v>
      </c>
      <c r="U38" s="9">
        <v>-1.4071893699999998</v>
      </c>
      <c r="V38" s="9">
        <v>-3.5174661399999998</v>
      </c>
      <c r="W38" s="9">
        <v>-4.4866989200000003</v>
      </c>
      <c r="X38" s="9">
        <v>-2.3872810400000004</v>
      </c>
      <c r="Y38" s="9">
        <f>SUM(Y33:Y36)</f>
        <v>-4.4696448999999996</v>
      </c>
      <c r="Z38" s="9">
        <f>SUM(Z33:Z36)</f>
        <v>-5.54034548</v>
      </c>
      <c r="AA38" s="9">
        <f>SUM(AA33:AA36)</f>
        <v>-5.4275917900000001</v>
      </c>
      <c r="AB38" s="9">
        <f>+SUM(AB33:AB36)</f>
        <v>-5.3</v>
      </c>
      <c r="AC38" s="9">
        <f>+SUM(AC33:AC36)</f>
        <v>-2.267690640000001</v>
      </c>
      <c r="AD38" s="9">
        <f t="shared" ref="AD38:AM38" si="16">+SUM(AD33:AD36)</f>
        <v>-9.3882581300000005</v>
      </c>
      <c r="AE38" s="9">
        <f t="shared" si="16"/>
        <v>-10.223773319999999</v>
      </c>
      <c r="AF38" s="9">
        <f t="shared" si="16"/>
        <v>-6.8874426900000003</v>
      </c>
      <c r="AG38" s="9">
        <f t="shared" si="16"/>
        <v>-9.1497340500000011</v>
      </c>
      <c r="AH38" s="9">
        <f t="shared" si="16"/>
        <v>-9.1990178</v>
      </c>
      <c r="AI38" s="9">
        <f t="shared" si="16"/>
        <v>-6.503122450000002</v>
      </c>
      <c r="AJ38" s="9">
        <f t="shared" si="16"/>
        <v>-186.71408519999997</v>
      </c>
      <c r="AK38" s="9">
        <f t="shared" si="16"/>
        <v>-7.7882508599999998</v>
      </c>
      <c r="AL38" s="9">
        <f t="shared" si="16"/>
        <v>-6.8635648000000016</v>
      </c>
      <c r="AM38" s="9">
        <f t="shared" si="16"/>
        <v>-8.6812930899999969</v>
      </c>
      <c r="AN38" s="9">
        <f>+SUM(AN33:AN36)</f>
        <v>-6.0392674800000012</v>
      </c>
      <c r="AO38" s="9">
        <f>+SUM(AO33:AO36)</f>
        <v>-6.6003506999999999</v>
      </c>
      <c r="AP38" s="9">
        <f>+SUM(AP33:AP36)</f>
        <v>-9.5700758700000002</v>
      </c>
      <c r="AQ38" s="9">
        <f t="shared" ref="AQ38:AR38" si="17">+SUM(AQ33:AQ36)</f>
        <v>-7.96</v>
      </c>
      <c r="AR38" s="9">
        <f t="shared" si="17"/>
        <v>-6.7551499400000079</v>
      </c>
      <c r="AS38" s="9">
        <v>-7.0608010600000011</v>
      </c>
      <c r="AT38" s="9">
        <v>-5.5103955799999991</v>
      </c>
      <c r="AU38" s="9">
        <f>SUM(AU33:AU36)</f>
        <v>-9.9182232299999953</v>
      </c>
      <c r="AV38" s="9">
        <v>-7.7</v>
      </c>
      <c r="AW38" s="9">
        <f>-16.6052626888327-AW15</f>
        <v>-7.8584596400000457</v>
      </c>
    </row>
    <row r="39" spans="1:51" ht="5.25" customHeight="1">
      <c r="A39" s="1">
        <v>10</v>
      </c>
      <c r="G39" s="56">
        <f t="shared" si="12"/>
        <v>10</v>
      </c>
      <c r="S39" s="14"/>
    </row>
    <row r="40" spans="1:51">
      <c r="A40" s="1">
        <v>11</v>
      </c>
      <c r="B40" s="6" t="s">
        <v>164</v>
      </c>
      <c r="C40" s="9">
        <f t="shared" si="13"/>
        <v>8.9820500000000099</v>
      </c>
      <c r="D40" s="9">
        <f t="shared" si="14"/>
        <v>0.16106154365671443</v>
      </c>
      <c r="E40" s="66">
        <f t="shared" si="15"/>
        <v>-0.98206850956555414</v>
      </c>
      <c r="G40" s="56">
        <f t="shared" si="12"/>
        <v>11</v>
      </c>
      <c r="H40" s="6" t="s">
        <v>164</v>
      </c>
      <c r="I40" s="18"/>
      <c r="J40" s="18"/>
      <c r="K40" s="18"/>
      <c r="L40" s="18"/>
      <c r="M40" s="18"/>
      <c r="N40" s="18"/>
      <c r="O40" s="18"/>
      <c r="P40" s="18"/>
      <c r="Q40" s="9">
        <v>4.9281214299999956</v>
      </c>
      <c r="R40" s="9">
        <v>-1.9760049700000009</v>
      </c>
      <c r="S40" s="15">
        <v>3.5452988599999982</v>
      </c>
      <c r="T40" s="9">
        <v>0.89048269000000602</v>
      </c>
      <c r="U40" s="9">
        <v>1.9710638200000044</v>
      </c>
      <c r="V40" s="9">
        <v>-0.63885456000000218</v>
      </c>
      <c r="W40" s="9">
        <v>1.1608619299999976</v>
      </c>
      <c r="X40" s="9">
        <v>7.0620773800000043</v>
      </c>
      <c r="Y40" s="9">
        <v>-2.6982926100000091</v>
      </c>
      <c r="Z40" s="9">
        <v>-1.4643349499999951</v>
      </c>
      <c r="AA40" s="9">
        <v>-6.3483848100000015</v>
      </c>
      <c r="AB40" s="9">
        <f>+'Operating Income'!D65+AB38</f>
        <v>3.428566329999998</v>
      </c>
      <c r="AC40" s="9">
        <v>1.8706096800000052</v>
      </c>
      <c r="AD40" s="9">
        <v>-0.85428449999999678</v>
      </c>
      <c r="AE40" s="9">
        <v>-5.9965322100000034</v>
      </c>
      <c r="AF40" s="9">
        <v>0.20896997999999201</v>
      </c>
      <c r="AG40" s="9">
        <v>-0.71223130999999817</v>
      </c>
      <c r="AH40" s="9">
        <v>-7.15080925</v>
      </c>
      <c r="AI40" s="9">
        <v>-3.0297254700000034</v>
      </c>
      <c r="AJ40" s="9">
        <v>-182.13281076999996</v>
      </c>
      <c r="AK40" s="9">
        <v>0.19442329999999686</v>
      </c>
      <c r="AL40" s="9">
        <v>-1.1930654399999883</v>
      </c>
      <c r="AM40" s="9">
        <v>2.4011697900000097</v>
      </c>
      <c r="AN40" s="9">
        <v>3.3051794699999775</v>
      </c>
      <c r="AO40" s="9">
        <v>9.4761633300000003</v>
      </c>
      <c r="AP40" s="9">
        <v>3.2966442299999859</v>
      </c>
      <c r="AQ40" s="9">
        <v>7.9</v>
      </c>
      <c r="AR40" s="9">
        <v>17.850065940000029</v>
      </c>
      <c r="AS40" s="9">
        <v>8.9820500000000099</v>
      </c>
      <c r="AT40" s="9">
        <v>-13.850486320000007</v>
      </c>
      <c r="AU40" s="9">
        <v>30.703258749999982</v>
      </c>
      <c r="AV40" s="9">
        <f>77.3-AV17</f>
        <v>6.4855360042890737</v>
      </c>
      <c r="AW40" s="9">
        <f>79.9175591730194-AW17</f>
        <v>0.16106154365671443</v>
      </c>
    </row>
    <row r="41" spans="1:51" ht="5.25" customHeight="1">
      <c r="A41" s="1">
        <v>12</v>
      </c>
      <c r="E41" s="38"/>
      <c r="G41" s="56">
        <f t="shared" si="12"/>
        <v>12</v>
      </c>
      <c r="S41" s="14"/>
    </row>
    <row r="42" spans="1:51">
      <c r="A42" s="1">
        <v>13</v>
      </c>
      <c r="B42" s="5" t="s">
        <v>165</v>
      </c>
      <c r="C42" s="8">
        <f t="shared" si="13"/>
        <v>-0.60919532999999981</v>
      </c>
      <c r="D42" s="8">
        <f t="shared" si="14"/>
        <v>-0.60505807999996009</v>
      </c>
      <c r="E42" s="47">
        <f t="shared" si="15"/>
        <v>-6.7913357117161954E-3</v>
      </c>
      <c r="G42" s="56">
        <f t="shared" si="12"/>
        <v>13</v>
      </c>
      <c r="H42" s="5" t="s">
        <v>165</v>
      </c>
      <c r="I42" s="17"/>
      <c r="J42" s="17"/>
      <c r="K42" s="17"/>
      <c r="L42" s="17"/>
      <c r="M42" s="17"/>
      <c r="N42" s="17"/>
      <c r="O42" s="17"/>
      <c r="P42" s="17"/>
      <c r="Q42" s="8">
        <v>2.9217945599999999</v>
      </c>
      <c r="R42" s="8">
        <v>1.28435225</v>
      </c>
      <c r="S42" s="8">
        <v>-5.4604279699999996</v>
      </c>
      <c r="T42" s="8">
        <v>1.2906353500000001</v>
      </c>
      <c r="U42" s="8">
        <v>5.8195076899999991</v>
      </c>
      <c r="V42" s="8">
        <v>-0.47814150999999994</v>
      </c>
      <c r="W42" s="8">
        <v>-0.95178185999999987</v>
      </c>
      <c r="X42" s="8">
        <v>-0.88224735999999992</v>
      </c>
      <c r="Y42" s="8">
        <v>1.2285207600000001</v>
      </c>
      <c r="Z42" s="8">
        <v>-1.9025937399999999</v>
      </c>
      <c r="AA42" s="8">
        <v>0.41217198999999999</v>
      </c>
      <c r="AB42" s="8">
        <v>-1.4</v>
      </c>
      <c r="AC42" s="8">
        <v>2.2914054600000004</v>
      </c>
      <c r="AD42" s="8">
        <v>1.02432743</v>
      </c>
      <c r="AE42" s="8">
        <v>-2.9144535899999999</v>
      </c>
      <c r="AF42" s="8">
        <v>2.3853569299999995</v>
      </c>
      <c r="AG42" s="8">
        <v>-5.8510186199999996</v>
      </c>
      <c r="AH42" s="8">
        <v>-1.8987026599999999</v>
      </c>
      <c r="AI42" s="8">
        <v>-1.8155251099999998</v>
      </c>
      <c r="AJ42" s="8">
        <v>52.9544414</v>
      </c>
      <c r="AK42" s="8">
        <v>-4.8814705299999996</v>
      </c>
      <c r="AL42" s="8">
        <v>-3.2611740699999983</v>
      </c>
      <c r="AM42" s="8">
        <v>-8.9729407600000002</v>
      </c>
      <c r="AN42" s="8">
        <v>2.1902339999999993</v>
      </c>
      <c r="AO42" s="8">
        <v>7.4336374200000002</v>
      </c>
      <c r="AP42" s="8">
        <v>-5.5621498699999998</v>
      </c>
      <c r="AQ42" s="8">
        <v>-7.66</v>
      </c>
      <c r="AR42" s="8">
        <v>-2.9274619800000012</v>
      </c>
      <c r="AS42" s="8">
        <v>-0.60919532999999981</v>
      </c>
      <c r="AT42" s="8">
        <v>7.3377871700000004</v>
      </c>
      <c r="AU42" s="8">
        <v>-14.526116430000002</v>
      </c>
      <c r="AV42" s="8">
        <v>-0.85412767000000045</v>
      </c>
      <c r="AW42" s="8">
        <f>-21.0884993362096-AW19</f>
        <v>-0.60505807999996009</v>
      </c>
    </row>
    <row r="43" spans="1:51" ht="5.25" customHeight="1">
      <c r="A43" s="1">
        <v>14</v>
      </c>
      <c r="E43" s="70"/>
      <c r="G43" s="56">
        <f t="shared" si="12"/>
        <v>14</v>
      </c>
      <c r="S43" s="14"/>
    </row>
    <row r="44" spans="1:51">
      <c r="A44" s="1">
        <v>15</v>
      </c>
      <c r="B44" s="3" t="s">
        <v>166</v>
      </c>
      <c r="C44" s="16">
        <f t="shared" si="13"/>
        <v>8.3728546700000095</v>
      </c>
      <c r="D44" s="16">
        <f t="shared" si="14"/>
        <v>-0.4439965363432421</v>
      </c>
      <c r="E44" s="48">
        <f t="shared" si="15"/>
        <v>-1.0530280954157827</v>
      </c>
      <c r="G44" s="56">
        <f t="shared" si="12"/>
        <v>15</v>
      </c>
      <c r="H44" s="3" t="s">
        <v>166</v>
      </c>
      <c r="I44" s="10"/>
      <c r="J44" s="10"/>
      <c r="K44" s="10"/>
      <c r="L44" s="10"/>
      <c r="M44" s="10"/>
      <c r="N44" s="10"/>
      <c r="O44" s="10"/>
      <c r="P44" s="10"/>
      <c r="Q44" s="10">
        <v>7.5692857599999961</v>
      </c>
      <c r="R44" s="16">
        <v>-0.41102250000000096</v>
      </c>
      <c r="S44" s="16">
        <v>-1.4873732300000011</v>
      </c>
      <c r="T44" s="16">
        <v>1.7533981700000059</v>
      </c>
      <c r="U44" s="16">
        <v>7.790571510000003</v>
      </c>
      <c r="V44" s="16">
        <v>-1.1169960700000021</v>
      </c>
      <c r="W44" s="16">
        <v>0.20908006999999773</v>
      </c>
      <c r="X44" s="16">
        <v>6.1798300200000043</v>
      </c>
      <c r="Y44" s="16">
        <v>-1.4697718500000088</v>
      </c>
      <c r="Z44" s="16">
        <v>-3.3669286899999951</v>
      </c>
      <c r="AA44" s="16">
        <v>-5.9362128200000015</v>
      </c>
      <c r="AB44" s="16">
        <f>+AB40+AB42</f>
        <v>2.0285663299999981</v>
      </c>
      <c r="AC44" s="16">
        <f>+AC40+AC42</f>
        <v>4.1620151400000056</v>
      </c>
      <c r="AD44" s="16">
        <f t="shared" ref="AD44:AG44" si="18">+AD40+AD42</f>
        <v>0.17004293000000326</v>
      </c>
      <c r="AE44" s="16">
        <f t="shared" si="18"/>
        <v>-8.9109858000000024</v>
      </c>
      <c r="AF44" s="16">
        <f t="shared" si="18"/>
        <v>2.5943269099999915</v>
      </c>
      <c r="AG44" s="16">
        <f t="shared" si="18"/>
        <v>-6.5632499299999978</v>
      </c>
      <c r="AH44" s="16">
        <v>-9.0495119099999997</v>
      </c>
      <c r="AI44" s="16">
        <v>-4.8452505800000036</v>
      </c>
      <c r="AJ44" s="16">
        <f t="shared" ref="AJ44:AM44" si="19">+AJ40+AJ42</f>
        <v>-129.17836936999996</v>
      </c>
      <c r="AK44" s="16">
        <f t="shared" si="19"/>
        <v>-4.6870472300000028</v>
      </c>
      <c r="AL44" s="16">
        <f t="shared" si="19"/>
        <v>-4.4542395099999865</v>
      </c>
      <c r="AM44" s="16">
        <f t="shared" si="19"/>
        <v>-6.5717709699999904</v>
      </c>
      <c r="AN44" s="16">
        <v>5.4954134699999768</v>
      </c>
      <c r="AO44" s="16">
        <v>16.909800749999999</v>
      </c>
      <c r="AP44" s="16">
        <v>-2.2655056400000113</v>
      </c>
      <c r="AQ44" s="16">
        <v>0.24</v>
      </c>
      <c r="AR44" s="16">
        <f>+AR40+AR42</f>
        <v>14.922603960000028</v>
      </c>
      <c r="AS44" s="16">
        <v>8.3728546700000095</v>
      </c>
      <c r="AT44" s="16">
        <v>-6.5126991500000058</v>
      </c>
      <c r="AU44" s="16">
        <v>16.177142319999984</v>
      </c>
      <c r="AV44" s="16">
        <f>56.2-AV21</f>
        <v>5.5988501251131453</v>
      </c>
      <c r="AW44" s="16">
        <f>58.8290598368098-AW21</f>
        <v>-0.4439965363432421</v>
      </c>
      <c r="AY44" s="46"/>
    </row>
    <row r="45" spans="1:51" ht="5.25" customHeight="1">
      <c r="A45" s="1">
        <v>16</v>
      </c>
      <c r="E45" s="70"/>
      <c r="G45" s="56">
        <f t="shared" si="12"/>
        <v>16</v>
      </c>
      <c r="S45" s="14"/>
    </row>
    <row r="46" spans="1:51">
      <c r="A46" s="1">
        <v>17</v>
      </c>
      <c r="B46" s="5" t="s">
        <v>167</v>
      </c>
      <c r="C46" s="8">
        <f t="shared" si="13"/>
        <v>4.9399842553000051</v>
      </c>
      <c r="D46" s="8">
        <f t="shared" si="14"/>
        <v>-0.26195795644251285</v>
      </c>
      <c r="E46" s="47">
        <f t="shared" si="15"/>
        <v>-1.0530280954157827</v>
      </c>
      <c r="G46" s="56">
        <f t="shared" si="12"/>
        <v>17</v>
      </c>
      <c r="H46" s="5" t="s">
        <v>167</v>
      </c>
      <c r="I46" s="17"/>
      <c r="J46" s="17"/>
      <c r="K46" s="17"/>
      <c r="L46" s="17"/>
      <c r="M46" s="17"/>
      <c r="N46" s="17"/>
      <c r="O46" s="17"/>
      <c r="P46" s="17"/>
      <c r="Q46" s="8">
        <f>+Q44*0.51</f>
        <v>3.860335737599998</v>
      </c>
      <c r="R46" s="8">
        <f t="shared" ref="R46:T46" si="20">+R44*0.51</f>
        <v>-0.2096214750000005</v>
      </c>
      <c r="S46" s="8">
        <f t="shared" si="20"/>
        <v>-0.75856034730000055</v>
      </c>
      <c r="T46" s="8">
        <f t="shared" si="20"/>
        <v>0.89423306670000302</v>
      </c>
      <c r="U46" s="8">
        <f>+U44-U47</f>
        <v>4.171250910000003</v>
      </c>
      <c r="V46" s="8">
        <f t="shared" ref="V46:AF46" si="21">+V44-V47</f>
        <v>-12.129309620000004</v>
      </c>
      <c r="W46" s="8">
        <f t="shared" si="21"/>
        <v>0.13145553999999782</v>
      </c>
      <c r="X46" s="8">
        <f t="shared" si="21"/>
        <v>3.2719259700000043</v>
      </c>
      <c r="Y46" s="8">
        <f t="shared" si="21"/>
        <v>-0.71925135000000906</v>
      </c>
      <c r="Z46" s="8">
        <f t="shared" si="21"/>
        <v>-1.6347808199999949</v>
      </c>
      <c r="AA46" s="8">
        <f t="shared" si="21"/>
        <v>-2.9987468100000014</v>
      </c>
      <c r="AB46" s="8">
        <f t="shared" si="21"/>
        <v>6.5330379499999971</v>
      </c>
      <c r="AC46" s="8">
        <f t="shared" si="21"/>
        <v>3.0307739099999909</v>
      </c>
      <c r="AD46" s="8">
        <f t="shared" si="21"/>
        <v>0.11151201000000327</v>
      </c>
      <c r="AE46" s="8">
        <f t="shared" si="21"/>
        <v>-4.5163217200000023</v>
      </c>
      <c r="AF46" s="8">
        <f t="shared" si="21"/>
        <v>1.3496086499999913</v>
      </c>
      <c r="AG46" s="8">
        <f>+AG44-AG47</f>
        <v>-3.3231319199999976</v>
      </c>
      <c r="AH46" s="8">
        <f>+AH44-AH47</f>
        <v>-4.5866115999999995</v>
      </c>
      <c r="AI46" s="8">
        <v>-2.39858211</v>
      </c>
      <c r="AJ46" s="8">
        <f>+AJ44-AJ47</f>
        <v>-65.880968378699976</v>
      </c>
      <c r="AK46" s="8">
        <v>-2.32373685</v>
      </c>
      <c r="AL46" s="8">
        <f>+AL44*0.49</f>
        <v>-2.1825773598999936</v>
      </c>
      <c r="AM46" s="8">
        <v>-3.2498031899999997</v>
      </c>
      <c r="AN46" s="8">
        <v>2.663956750000001</v>
      </c>
      <c r="AO46" s="8">
        <v>8.2599789799999996</v>
      </c>
      <c r="AP46" s="8">
        <f>+AP44-AP47</f>
        <v>-1.1304824500000112</v>
      </c>
      <c r="AQ46" s="8">
        <v>0</v>
      </c>
      <c r="AR46" s="8">
        <f>+AR44*0.51</f>
        <v>7.6105280196000145</v>
      </c>
      <c r="AS46" s="8">
        <f>+AS44*0.59</f>
        <v>4.9399842553000051</v>
      </c>
      <c r="AT46" s="8">
        <f t="shared" ref="AT46:AW46" si="22">+AT44*0.59</f>
        <v>-3.8424924985000031</v>
      </c>
      <c r="AU46" s="8">
        <f t="shared" si="22"/>
        <v>9.5445139687999898</v>
      </c>
      <c r="AV46" s="8">
        <f t="shared" si="22"/>
        <v>3.3033215738167554</v>
      </c>
      <c r="AW46" s="8">
        <f t="shared" si="22"/>
        <v>-0.26195795644251285</v>
      </c>
    </row>
    <row r="47" spans="1:51">
      <c r="A47" s="1">
        <v>18</v>
      </c>
      <c r="B47" s="5" t="s">
        <v>168</v>
      </c>
      <c r="C47" s="8">
        <f t="shared" si="13"/>
        <v>3.4328704147000035</v>
      </c>
      <c r="D47" s="8">
        <f t="shared" si="14"/>
        <v>-0.18203857990072925</v>
      </c>
      <c r="E47" s="47">
        <f t="shared" si="15"/>
        <v>-1.0530280954157827</v>
      </c>
      <c r="G47" s="56">
        <f t="shared" si="12"/>
        <v>18</v>
      </c>
      <c r="H47" s="5" t="s">
        <v>168</v>
      </c>
      <c r="I47" s="17"/>
      <c r="J47" s="17"/>
      <c r="K47" s="17"/>
      <c r="L47" s="17"/>
      <c r="M47" s="17"/>
      <c r="N47" s="17"/>
      <c r="O47" s="17"/>
      <c r="P47" s="17"/>
      <c r="Q47" s="8">
        <f>+Q44*0.49</f>
        <v>3.708950022399998</v>
      </c>
      <c r="R47" s="8">
        <f>+R44*0.49</f>
        <v>-0.20140102500000046</v>
      </c>
      <c r="S47" s="8">
        <f>+S44*0.49</f>
        <v>-0.72881288270000055</v>
      </c>
      <c r="T47" s="8">
        <f>+T44*0.49</f>
        <v>0.85916510330000284</v>
      </c>
      <c r="U47" s="8">
        <v>3.6193206</v>
      </c>
      <c r="V47" s="8">
        <v>11.012313550000002</v>
      </c>
      <c r="W47" s="8">
        <v>7.7624529999999914E-2</v>
      </c>
      <c r="X47" s="8">
        <v>2.90790405</v>
      </c>
      <c r="Y47" s="8">
        <v>-0.7505204999999997</v>
      </c>
      <c r="Z47" s="8">
        <v>-1.7321478700000001</v>
      </c>
      <c r="AA47" s="8">
        <v>-2.9374660100000001</v>
      </c>
      <c r="AB47" s="8">
        <v>-4.5044716199999995</v>
      </c>
      <c r="AC47" s="8">
        <v>1.1312412300000148</v>
      </c>
      <c r="AD47" s="8">
        <v>5.8530919999999986E-2</v>
      </c>
      <c r="AE47" s="8">
        <v>-4.3946640800000001</v>
      </c>
      <c r="AF47" s="8">
        <v>1.2447182600000002</v>
      </c>
      <c r="AG47" s="8">
        <v>-3.2401180100000002</v>
      </c>
      <c r="AH47" s="8">
        <v>-4.4629003100000002</v>
      </c>
      <c r="AI47" s="8">
        <f>+AI44-AI46</f>
        <v>-2.4466684700000036</v>
      </c>
      <c r="AJ47" s="8">
        <f>+AJ44*0.49</f>
        <v>-63.29740099129998</v>
      </c>
      <c r="AK47" s="8">
        <f>+AK44-AK46</f>
        <v>-2.3633103800000028</v>
      </c>
      <c r="AL47" s="8">
        <f>+AL44*0.51</f>
        <v>-2.2716621500999929</v>
      </c>
      <c r="AM47" s="8">
        <v>-3.3219677799999907</v>
      </c>
      <c r="AN47" s="8">
        <f>+AN44-AN46</f>
        <v>2.8314567199999758</v>
      </c>
      <c r="AO47" s="8">
        <f>+AO44-AO46</f>
        <v>8.6498217699999991</v>
      </c>
      <c r="AP47" s="8">
        <v>-1.1350231900000001</v>
      </c>
      <c r="AQ47" s="8">
        <v>0</v>
      </c>
      <c r="AR47" s="8">
        <f>+AR44*0.49</f>
        <v>7.312075940400014</v>
      </c>
      <c r="AS47" s="8">
        <f>+AS44*0.41</f>
        <v>3.4328704147000035</v>
      </c>
      <c r="AT47" s="8">
        <f t="shared" ref="AT47:AW47" si="23">+AT44*0.41</f>
        <v>-2.6702066515000022</v>
      </c>
      <c r="AU47" s="8">
        <f t="shared" si="23"/>
        <v>6.6326283511999931</v>
      </c>
      <c r="AV47" s="8">
        <f t="shared" si="23"/>
        <v>2.2955285512963894</v>
      </c>
      <c r="AW47" s="8">
        <f t="shared" si="23"/>
        <v>-0.18203857990072925</v>
      </c>
    </row>
    <row r="48" spans="1:51">
      <c r="U48" s="61"/>
      <c r="V48" s="61"/>
      <c r="W48" s="61"/>
      <c r="X48" s="61"/>
      <c r="Y48" s="61"/>
      <c r="Z48" s="61"/>
      <c r="AA48" s="61"/>
      <c r="AB48" s="61"/>
      <c r="AC48" s="61"/>
      <c r="AD48" s="61"/>
      <c r="AE48" s="61"/>
      <c r="AF48" s="61"/>
      <c r="AG48" s="61"/>
      <c r="AH48" s="61"/>
      <c r="AI48" s="61"/>
      <c r="AJ48" s="61"/>
      <c r="AK48" s="61"/>
      <c r="AL48" s="61"/>
      <c r="AM48" s="61"/>
      <c r="AN48" s="61"/>
      <c r="AO48" s="61"/>
    </row>
    <row r="49" spans="2:5" ht="183" customHeight="1">
      <c r="B49" s="140" t="s">
        <v>187</v>
      </c>
      <c r="C49" s="140"/>
      <c r="D49" s="140"/>
      <c r="E49" s="140"/>
    </row>
  </sheetData>
  <mergeCells count="89">
    <mergeCell ref="AS6:AS7"/>
    <mergeCell ref="AS30:AS31"/>
    <mergeCell ref="AR30:AR31"/>
    <mergeCell ref="AQ6:AQ7"/>
    <mergeCell ref="AQ30:AQ31"/>
    <mergeCell ref="AR6:AR7"/>
    <mergeCell ref="AG6:AG7"/>
    <mergeCell ref="AG30:AG31"/>
    <mergeCell ref="AE30:AE31"/>
    <mergeCell ref="AD6:AD7"/>
    <mergeCell ref="AD30:AD31"/>
    <mergeCell ref="AF30:AF31"/>
    <mergeCell ref="AF6:AF7"/>
    <mergeCell ref="AE6:AE7"/>
    <mergeCell ref="AB30:AB31"/>
    <mergeCell ref="AB6:AB7"/>
    <mergeCell ref="AC6:AC7"/>
    <mergeCell ref="Y30:Y31"/>
    <mergeCell ref="AA6:AA7"/>
    <mergeCell ref="AA30:AA31"/>
    <mergeCell ref="Z6:Z7"/>
    <mergeCell ref="Y6:Y7"/>
    <mergeCell ref="AP30:AP31"/>
    <mergeCell ref="C6:C7"/>
    <mergeCell ref="D6:D7"/>
    <mergeCell ref="E6:E7"/>
    <mergeCell ref="I6:I7"/>
    <mergeCell ref="J30:J31"/>
    <mergeCell ref="N30:N31"/>
    <mergeCell ref="K30:K31"/>
    <mergeCell ref="L30:L31"/>
    <mergeCell ref="M30:M31"/>
    <mergeCell ref="J6:J7"/>
    <mergeCell ref="K6:K7"/>
    <mergeCell ref="L6:L7"/>
    <mergeCell ref="M6:M7"/>
    <mergeCell ref="N6:N7"/>
    <mergeCell ref="AN6:AN7"/>
    <mergeCell ref="B49:E49"/>
    <mergeCell ref="I30:I31"/>
    <mergeCell ref="C30:C31"/>
    <mergeCell ref="D30:D31"/>
    <mergeCell ref="E30:E31"/>
    <mergeCell ref="S6:S7"/>
    <mergeCell ref="AO30:AO31"/>
    <mergeCell ref="V30:V31"/>
    <mergeCell ref="AN30:AN31"/>
    <mergeCell ref="AL6:AL7"/>
    <mergeCell ref="AL30:AL31"/>
    <mergeCell ref="AK6:AK7"/>
    <mergeCell ref="AK30:AK31"/>
    <mergeCell ref="AM6:AM7"/>
    <mergeCell ref="AM30:AM31"/>
    <mergeCell ref="Z30:Z31"/>
    <mergeCell ref="W6:W7"/>
    <mergeCell ref="W30:W31"/>
    <mergeCell ref="X6:X7"/>
    <mergeCell ref="S30:S31"/>
    <mergeCell ref="AI6:AI7"/>
    <mergeCell ref="O30:O31"/>
    <mergeCell ref="P30:P31"/>
    <mergeCell ref="Q30:Q31"/>
    <mergeCell ref="R30:R31"/>
    <mergeCell ref="Q6:Q7"/>
    <mergeCell ref="P6:P7"/>
    <mergeCell ref="O6:O7"/>
    <mergeCell ref="R6:R7"/>
    <mergeCell ref="AT6:AT7"/>
    <mergeCell ref="AT30:AT31"/>
    <mergeCell ref="T6:T7"/>
    <mergeCell ref="AI30:AI31"/>
    <mergeCell ref="AH6:AH7"/>
    <mergeCell ref="AH30:AH31"/>
    <mergeCell ref="AJ6:AJ7"/>
    <mergeCell ref="AJ30:AJ31"/>
    <mergeCell ref="X30:X31"/>
    <mergeCell ref="T30:T31"/>
    <mergeCell ref="U6:U7"/>
    <mergeCell ref="U30:U31"/>
    <mergeCell ref="AO6:AO7"/>
    <mergeCell ref="V6:V7"/>
    <mergeCell ref="AC30:AC31"/>
    <mergeCell ref="AP6:AP7"/>
    <mergeCell ref="AW6:AW7"/>
    <mergeCell ref="AW30:AW31"/>
    <mergeCell ref="AV6:AV7"/>
    <mergeCell ref="AV30:AV31"/>
    <mergeCell ref="AU6:AU7"/>
    <mergeCell ref="AU30:AU31"/>
  </mergeCells>
  <phoneticPr fontId="14" type="noConversion"/>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9" tint="0.79998168889431442"/>
  </sheetPr>
  <dimension ref="A4:AM49"/>
  <sheetViews>
    <sheetView topLeftCell="E1" zoomScale="70" zoomScaleNormal="70" workbookViewId="0">
      <selection activeCell="AG1" sqref="H1:AG1048576"/>
    </sheetView>
  </sheetViews>
  <sheetFormatPr defaultColWidth="11.453125" defaultRowHeight="13.5"/>
  <cols>
    <col min="1" max="1" width="0" style="1" hidden="1" customWidth="1"/>
    <col min="2" max="2" width="51" style="1" customWidth="1"/>
    <col min="3" max="6" width="11.453125" style="1"/>
    <col min="7" max="7" width="11.453125" style="56"/>
    <col min="8" max="8" width="38.6328125" style="1" customWidth="1"/>
    <col min="9" max="32" width="11.453125" style="1" customWidth="1"/>
    <col min="33" max="16384" width="11.453125" style="1"/>
  </cols>
  <sheetData>
    <row r="4" spans="1:39" ht="23.5">
      <c r="B4" s="11" t="s">
        <v>0</v>
      </c>
      <c r="C4" s="12"/>
      <c r="D4" s="12"/>
      <c r="E4" s="12"/>
      <c r="H4" s="11" t="s">
        <v>0</v>
      </c>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row>
    <row r="5" spans="1:39" ht="7.5" customHeight="1"/>
    <row r="6" spans="1:39" ht="15.75" customHeight="1">
      <c r="A6" s="1">
        <v>1</v>
      </c>
      <c r="B6" s="100" t="s">
        <v>188</v>
      </c>
      <c r="C6" s="141" t="s">
        <v>73</v>
      </c>
      <c r="D6" s="141" t="s">
        <v>74</v>
      </c>
      <c r="E6" s="141" t="s">
        <v>75</v>
      </c>
      <c r="G6" s="56">
        <v>1</v>
      </c>
      <c r="H6" s="100" t="s">
        <v>188</v>
      </c>
      <c r="I6" s="141" t="s">
        <v>89</v>
      </c>
      <c r="J6" s="141" t="s">
        <v>90</v>
      </c>
      <c r="K6" s="141" t="s">
        <v>91</v>
      </c>
      <c r="L6" s="141" t="s">
        <v>92</v>
      </c>
      <c r="M6" s="141" t="s">
        <v>93</v>
      </c>
      <c r="N6" s="141" t="s">
        <v>94</v>
      </c>
      <c r="O6" s="141" t="s">
        <v>95</v>
      </c>
      <c r="P6" s="141" t="s">
        <v>96</v>
      </c>
      <c r="Q6" s="141" t="s">
        <v>97</v>
      </c>
      <c r="R6" s="141" t="s">
        <v>98</v>
      </c>
      <c r="S6" s="141" t="s">
        <v>99</v>
      </c>
      <c r="T6" s="141" t="s">
        <v>100</v>
      </c>
      <c r="U6" s="141" t="s">
        <v>101</v>
      </c>
      <c r="V6" s="141" t="s">
        <v>102</v>
      </c>
      <c r="W6" s="141" t="s">
        <v>103</v>
      </c>
      <c r="X6" s="141" t="s">
        <v>104</v>
      </c>
      <c r="Y6" s="141" t="s">
        <v>105</v>
      </c>
      <c r="Z6" s="141" t="s">
        <v>106</v>
      </c>
      <c r="AA6" s="141" t="s">
        <v>107</v>
      </c>
      <c r="AB6" s="141" t="s">
        <v>108</v>
      </c>
      <c r="AC6" s="141" t="s">
        <v>109</v>
      </c>
      <c r="AD6" s="141" t="s">
        <v>110</v>
      </c>
      <c r="AE6" s="141" t="s">
        <v>111</v>
      </c>
      <c r="AF6" s="141" t="s">
        <v>112</v>
      </c>
      <c r="AG6" s="141" t="s">
        <v>73</v>
      </c>
      <c r="AH6" s="141" t="s">
        <v>113</v>
      </c>
      <c r="AI6" s="141" t="s">
        <v>114</v>
      </c>
      <c r="AJ6" s="141" t="s">
        <v>115</v>
      </c>
      <c r="AK6" s="141" t="s">
        <v>74</v>
      </c>
    </row>
    <row r="7" spans="1:39">
      <c r="A7" s="1">
        <v>2</v>
      </c>
      <c r="B7" s="100" t="s">
        <v>141</v>
      </c>
      <c r="C7" s="141"/>
      <c r="D7" s="141"/>
      <c r="E7" s="141"/>
      <c r="G7" s="56">
        <f>G6+1</f>
        <v>2</v>
      </c>
      <c r="H7" s="100" t="s">
        <v>141</v>
      </c>
      <c r="I7" s="141"/>
      <c r="J7" s="141"/>
      <c r="K7" s="141"/>
      <c r="L7" s="141"/>
      <c r="M7" s="141"/>
      <c r="N7" s="141"/>
      <c r="O7" s="141"/>
      <c r="P7" s="141"/>
      <c r="Q7" s="141"/>
      <c r="R7" s="141"/>
      <c r="S7" s="141"/>
      <c r="T7" s="141"/>
      <c r="U7" s="141"/>
      <c r="V7" s="141"/>
      <c r="W7" s="141"/>
      <c r="X7" s="141"/>
      <c r="Y7" s="141"/>
      <c r="Z7" s="141"/>
      <c r="AA7" s="141"/>
      <c r="AB7" s="141"/>
      <c r="AC7" s="141"/>
      <c r="AD7" s="141"/>
      <c r="AE7" s="141"/>
      <c r="AF7" s="141"/>
      <c r="AG7" s="141"/>
      <c r="AH7" s="141"/>
      <c r="AI7" s="141"/>
      <c r="AJ7" s="141"/>
      <c r="AK7" s="141"/>
    </row>
    <row r="8" spans="1:39" ht="4.5" customHeight="1">
      <c r="A8" s="1">
        <v>3</v>
      </c>
      <c r="G8" s="56">
        <f t="shared" ref="G8:G18" si="0">G7+1</f>
        <v>3</v>
      </c>
    </row>
    <row r="9" spans="1:39">
      <c r="A9" s="1">
        <v>4</v>
      </c>
      <c r="B9" s="5" t="s">
        <v>189</v>
      </c>
      <c r="C9" s="54">
        <f t="shared" ref="C9:C18" si="1">HLOOKUP($C$6,$H$6:$BL$18,$G9,FALSE)</f>
        <v>1520.9973978014436</v>
      </c>
      <c r="D9" s="54">
        <f t="shared" ref="D9:D18" si="2">HLOOKUP($D$6,$H$6:$BL$18,$G9,FALSE)</f>
        <v>1334.4477199999997</v>
      </c>
      <c r="E9" s="35">
        <f>D9/C9-1</f>
        <v>-0.12264957065087423</v>
      </c>
      <c r="G9" s="56">
        <f t="shared" si="0"/>
        <v>4</v>
      </c>
      <c r="H9" s="5" t="s">
        <v>189</v>
      </c>
      <c r="I9" s="13">
        <v>851.94598514999996</v>
      </c>
      <c r="J9" s="13">
        <v>877.85857165000004</v>
      </c>
      <c r="K9" s="13">
        <v>966.98446622000006</v>
      </c>
      <c r="L9" s="13">
        <v>1036.83880901</v>
      </c>
      <c r="M9" s="13">
        <v>1123.0161427500002</v>
      </c>
      <c r="N9" s="13">
        <v>906.10416333000012</v>
      </c>
      <c r="O9" s="13">
        <v>1018.89567078</v>
      </c>
      <c r="P9" s="13">
        <f>1151.26274554-P28</f>
        <v>1079.4268553100001</v>
      </c>
      <c r="Q9" s="13">
        <f>1215.75743257-Q28</f>
        <v>1149.0228043500001</v>
      </c>
      <c r="R9" s="13">
        <v>962.29794672999992</v>
      </c>
      <c r="S9" s="13">
        <f>1117.13582647-S28</f>
        <v>1056.5571717299999</v>
      </c>
      <c r="T9" s="13">
        <v>1069.0444025100001</v>
      </c>
      <c r="U9" s="13">
        <f>1313.33960533-U28</f>
        <v>1239.53445283</v>
      </c>
      <c r="V9" s="13">
        <f>1157.13281828-V28</f>
        <v>1065.85657085</v>
      </c>
      <c r="W9" s="13">
        <f>1232.11201038-W28</f>
        <v>1153.9265937</v>
      </c>
      <c r="X9" s="13">
        <f>1259.18534985546-X28</f>
        <v>1184.6837488154599</v>
      </c>
      <c r="Y9" s="13">
        <f>1835.53080955605-Y28</f>
        <v>1771.1374382460499</v>
      </c>
      <c r="Z9" s="13">
        <f>1606.13921990478-Z28</f>
        <v>1529.6106433047801</v>
      </c>
      <c r="AA9" s="13">
        <f>2162.29712954196-AA28</f>
        <v>2101.5483796752483</v>
      </c>
      <c r="AB9" s="13">
        <f>1766.43577610322-AB28</f>
        <v>1701.09212012322</v>
      </c>
      <c r="AC9" s="13">
        <v>1531.3300000000002</v>
      </c>
      <c r="AD9" s="13">
        <v>1451.7839426024229</v>
      </c>
      <c r="AE9" s="13">
        <v>1469.3812959336046</v>
      </c>
      <c r="AF9" s="13">
        <f>1688.3-AF28</f>
        <v>1585.2480199534943</v>
      </c>
      <c r="AG9" s="54">
        <f>1602.57686574061-AG28</f>
        <v>1520.9973978014436</v>
      </c>
      <c r="AH9" s="54">
        <f>1487.64968383918-AH28</f>
        <v>1412.1633893192181</v>
      </c>
      <c r="AI9" s="54">
        <f>1653.70245341163-AI28</f>
        <v>1541.5597900816299</v>
      </c>
      <c r="AJ9" s="54">
        <f>1426.23105087525-AJ28</f>
        <v>1334.4235706552499</v>
      </c>
      <c r="AK9" s="54">
        <v>1334.4477199999997</v>
      </c>
      <c r="AL9" s="125"/>
      <c r="AM9" s="46"/>
    </row>
    <row r="10" spans="1:39">
      <c r="A10" s="1">
        <v>5</v>
      </c>
      <c r="B10" s="5" t="s">
        <v>190</v>
      </c>
      <c r="C10" s="54">
        <f t="shared" si="1"/>
        <v>4399.4549288422841</v>
      </c>
      <c r="D10" s="54">
        <f t="shared" si="2"/>
        <v>4676.452040000001</v>
      </c>
      <c r="E10" s="35">
        <f>D10/C10-1</f>
        <v>6.2961688581409936E-2</v>
      </c>
      <c r="G10" s="56">
        <f t="shared" si="0"/>
        <v>5</v>
      </c>
      <c r="H10" s="5" t="s">
        <v>190</v>
      </c>
      <c r="I10" s="13">
        <v>5111.9700011000004</v>
      </c>
      <c r="J10" s="13">
        <v>5118.2419994500015</v>
      </c>
      <c r="K10" s="13">
        <v>5083.0575229899996</v>
      </c>
      <c r="L10" s="13">
        <v>5039.0015552599998</v>
      </c>
      <c r="M10" s="13">
        <v>5033.1846888900009</v>
      </c>
      <c r="N10" s="13">
        <v>5004.2986579099997</v>
      </c>
      <c r="O10" s="13">
        <v>4986.2491683299995</v>
      </c>
      <c r="P10" s="13">
        <f>5627.08594679-P29</f>
        <v>4914.9502672399994</v>
      </c>
      <c r="Q10" s="13">
        <f>5634.71460311-Q29</f>
        <v>4900.3526078900004</v>
      </c>
      <c r="R10" s="13">
        <v>4856.1919675599984</v>
      </c>
      <c r="S10" s="13">
        <f>5662.96485819-S29</f>
        <v>4816.5027538599998</v>
      </c>
      <c r="T10" s="13">
        <v>4715.0582073800015</v>
      </c>
      <c r="U10" s="13">
        <f>5548.1223242-U29</f>
        <v>4691.6083793299995</v>
      </c>
      <c r="V10" s="13">
        <f>5545.52978856-V29</f>
        <v>4703.89630622</v>
      </c>
      <c r="W10" s="13">
        <f>5499.52641136-W29</f>
        <v>4689.1938464699997</v>
      </c>
      <c r="X10" s="13">
        <f>5374.69484166304-X29</f>
        <v>4692.081113313041</v>
      </c>
      <c r="Y10" s="13">
        <f>4858.214-Y29</f>
        <v>4188.5855019600003</v>
      </c>
      <c r="Z10" s="13">
        <f>4861.638-Z29</f>
        <v>4202.1238247000001</v>
      </c>
      <c r="AA10" s="13">
        <f>4981.939-AA29</f>
        <v>4336.9985660196135</v>
      </c>
      <c r="AB10" s="13">
        <f>4836.072-AB29</f>
        <v>4196.7211968600004</v>
      </c>
      <c r="AC10" s="13">
        <v>4108.0199999999995</v>
      </c>
      <c r="AD10" s="13">
        <v>4220.9687017755605</v>
      </c>
      <c r="AE10" s="13">
        <v>4249.2650304162189</v>
      </c>
      <c r="AF10" s="13">
        <f>4869.9-AF29</f>
        <v>4253.4738190958487</v>
      </c>
      <c r="AG10" s="54">
        <f>5013.79241971-AG29</f>
        <v>4399.4549288422841</v>
      </c>
      <c r="AH10" s="54">
        <f>5111.54323107-AH29</f>
        <v>4495.3399611761906</v>
      </c>
      <c r="AI10" s="54">
        <f>5074.41705531-AI29</f>
        <v>4473.6280143700005</v>
      </c>
      <c r="AJ10" s="54">
        <f>5234.46087104-AJ29</f>
        <v>4641.8056893799994</v>
      </c>
      <c r="AK10" s="54">
        <v>4676.452040000001</v>
      </c>
      <c r="AL10" s="125"/>
      <c r="AM10" s="46"/>
    </row>
    <row r="11" spans="1:39" ht="5.25" customHeight="1">
      <c r="A11" s="1">
        <v>6</v>
      </c>
      <c r="C11" s="121"/>
      <c r="D11" s="121"/>
      <c r="E11" s="39"/>
      <c r="G11" s="56">
        <f t="shared" si="0"/>
        <v>6</v>
      </c>
      <c r="I11" s="14"/>
      <c r="J11" s="14"/>
      <c r="K11" s="39"/>
      <c r="L11" s="39"/>
      <c r="M11" s="39"/>
      <c r="N11" s="39"/>
      <c r="O11" s="39"/>
      <c r="P11" s="39"/>
      <c r="Q11" s="39"/>
      <c r="R11" s="39"/>
      <c r="S11" s="39"/>
      <c r="T11" s="39"/>
      <c r="U11" s="39"/>
      <c r="V11" s="39"/>
      <c r="W11" s="39"/>
      <c r="X11" s="39"/>
      <c r="Y11" s="39"/>
      <c r="Z11" s="39"/>
      <c r="AA11" s="39"/>
      <c r="AB11" s="39"/>
      <c r="AC11" s="39"/>
      <c r="AD11" s="39"/>
      <c r="AE11" s="39"/>
      <c r="AF11" s="39"/>
      <c r="AG11" s="121"/>
      <c r="AH11" s="121"/>
      <c r="AI11" s="121"/>
      <c r="AJ11" s="121"/>
      <c r="AK11" s="121"/>
      <c r="AL11" s="125"/>
      <c r="AM11" s="46"/>
    </row>
    <row r="12" spans="1:39">
      <c r="A12" s="1">
        <v>7</v>
      </c>
      <c r="B12" s="112" t="s">
        <v>191</v>
      </c>
      <c r="C12" s="122">
        <f t="shared" si="1"/>
        <v>5920.4523266437282</v>
      </c>
      <c r="D12" s="122">
        <f t="shared" si="2"/>
        <v>6010.899574476859</v>
      </c>
      <c r="E12" s="104">
        <f>D12/C12-1</f>
        <v>1.5277084054218681E-2</v>
      </c>
      <c r="G12" s="56">
        <f t="shared" si="0"/>
        <v>7</v>
      </c>
      <c r="H12" s="112" t="s">
        <v>191</v>
      </c>
      <c r="I12" s="103">
        <f>I10+I9</f>
        <v>5963.9159862500001</v>
      </c>
      <c r="J12" s="103">
        <f>J10+J9</f>
        <v>5996.1005711000016</v>
      </c>
      <c r="K12" s="103">
        <f t="shared" ref="K12:M12" si="3">K10+K9</f>
        <v>6050.0419892099999</v>
      </c>
      <c r="L12" s="103">
        <f t="shared" si="3"/>
        <v>6075.8403642699996</v>
      </c>
      <c r="M12" s="103">
        <f t="shared" si="3"/>
        <v>6156.2008316400006</v>
      </c>
      <c r="N12" s="103">
        <f t="shared" ref="N12:O12" si="4">N10+N9</f>
        <v>5910.4028212399999</v>
      </c>
      <c r="O12" s="103">
        <f t="shared" si="4"/>
        <v>6005.1448391099993</v>
      </c>
      <c r="P12" s="103">
        <f t="shared" ref="P12:AA12" si="5">P10+P9</f>
        <v>5994.3771225499995</v>
      </c>
      <c r="Q12" s="103">
        <f t="shared" si="5"/>
        <v>6049.3754122400005</v>
      </c>
      <c r="R12" s="103">
        <f t="shared" si="5"/>
        <v>5818.4899142899985</v>
      </c>
      <c r="S12" s="103">
        <f t="shared" si="5"/>
        <v>5873.0599255899997</v>
      </c>
      <c r="T12" s="103">
        <f t="shared" si="5"/>
        <v>5784.102609890002</v>
      </c>
      <c r="U12" s="103">
        <f t="shared" si="5"/>
        <v>5931.1428321599997</v>
      </c>
      <c r="V12" s="103">
        <f t="shared" si="5"/>
        <v>5769.7528770700001</v>
      </c>
      <c r="W12" s="103">
        <f t="shared" si="5"/>
        <v>5843.1204401699997</v>
      </c>
      <c r="X12" s="103">
        <f t="shared" si="5"/>
        <v>5876.7648621285007</v>
      </c>
      <c r="Y12" s="103">
        <f t="shared" si="5"/>
        <v>5959.7229402060502</v>
      </c>
      <c r="Z12" s="103">
        <f t="shared" si="5"/>
        <v>5731.73446800478</v>
      </c>
      <c r="AA12" s="103">
        <f t="shared" si="5"/>
        <v>6438.5469456948613</v>
      </c>
      <c r="AB12" s="103">
        <f>AB10+AB9</f>
        <v>5897.8133169832199</v>
      </c>
      <c r="AC12" s="103">
        <f>AC10+AC9</f>
        <v>5639.3499999999995</v>
      </c>
      <c r="AD12" s="103">
        <f>AD10+AD9</f>
        <v>5672.7526443779834</v>
      </c>
      <c r="AE12" s="103">
        <f>AE10+AE9</f>
        <v>5718.6463263498235</v>
      </c>
      <c r="AF12" s="103">
        <f>AF10+AF9</f>
        <v>5838.7218390493435</v>
      </c>
      <c r="AG12" s="122">
        <f>+AG9+AG10</f>
        <v>5920.4523266437282</v>
      </c>
      <c r="AH12" s="122">
        <f>+AH9+AH10</f>
        <v>5907.503350495409</v>
      </c>
      <c r="AI12" s="122">
        <f>+AI9+AI10</f>
        <v>6015.1878044516307</v>
      </c>
      <c r="AJ12" s="122">
        <f>6660.69192191525-AJ31</f>
        <v>5976.2292600352494</v>
      </c>
      <c r="AK12" s="122">
        <f>6680.31162363686-AK31</f>
        <v>6010.899574476859</v>
      </c>
      <c r="AL12" s="125"/>
      <c r="AM12" s="46"/>
    </row>
    <row r="13" spans="1:39" ht="5.25" customHeight="1">
      <c r="A13" s="1">
        <v>8</v>
      </c>
      <c r="C13" s="88"/>
      <c r="D13" s="88"/>
      <c r="G13" s="56">
        <f t="shared" si="0"/>
        <v>8</v>
      </c>
      <c r="AG13" s="88"/>
      <c r="AH13" s="88"/>
      <c r="AI13" s="88"/>
      <c r="AJ13" s="88"/>
      <c r="AK13" s="88"/>
      <c r="AL13" s="125"/>
      <c r="AM13" s="46"/>
    </row>
    <row r="14" spans="1:39">
      <c r="A14" s="1">
        <v>9</v>
      </c>
      <c r="B14" s="5" t="s">
        <v>192</v>
      </c>
      <c r="C14" s="54">
        <f t="shared" si="1"/>
        <v>367.09936456401999</v>
      </c>
      <c r="D14" s="54">
        <f t="shared" si="2"/>
        <v>367.38</v>
      </c>
      <c r="E14" s="35">
        <f>D14/C14-1</f>
        <v>7.6446723440470876E-4</v>
      </c>
      <c r="G14" s="56">
        <f t="shared" si="0"/>
        <v>9</v>
      </c>
      <c r="H14" s="5" t="s">
        <v>192</v>
      </c>
      <c r="I14" s="13">
        <v>332.06293499999998</v>
      </c>
      <c r="J14" s="13">
        <v>257.57242348</v>
      </c>
      <c r="K14" s="13">
        <v>251.18324160999998</v>
      </c>
      <c r="L14" s="13">
        <v>321.59412931000003</v>
      </c>
      <c r="M14" s="13">
        <v>311.40434149000004</v>
      </c>
      <c r="N14" s="13">
        <v>240.91993596999998</v>
      </c>
      <c r="O14" s="13">
        <v>238.14455495999999</v>
      </c>
      <c r="P14" s="13">
        <f>345.36432029-P33</f>
        <v>301.90262543</v>
      </c>
      <c r="Q14" s="13">
        <f>324.73546798-Q33</f>
        <v>278.59070792</v>
      </c>
      <c r="R14" s="13">
        <v>217.377272</v>
      </c>
      <c r="S14" s="13">
        <f>286.59953942-S33</f>
        <v>226.65396185999998</v>
      </c>
      <c r="T14" s="13">
        <v>267.9885452499999</v>
      </c>
      <c r="U14" s="13">
        <f>344.78575294-U33</f>
        <v>245.24322167000003</v>
      </c>
      <c r="V14" s="13">
        <f>300.0780978-V33</f>
        <v>187.28015278000004</v>
      </c>
      <c r="W14" s="13">
        <f>285.30081097-W33</f>
        <v>193.42503362999997</v>
      </c>
      <c r="X14" s="13">
        <f>306.542637480564-X33</f>
        <v>215.40118083056399</v>
      </c>
      <c r="Y14" s="13">
        <f>429.657122-Y33</f>
        <v>341.73667789000001</v>
      </c>
      <c r="Z14" s="13">
        <f>427.219-Z33</f>
        <v>331.30202495999998</v>
      </c>
      <c r="AA14" s="13">
        <f>571.603-AA33</f>
        <v>479.19844292999994</v>
      </c>
      <c r="AB14" s="13">
        <f>679.004-AB33</f>
        <v>592.82991433000007</v>
      </c>
      <c r="AC14" s="13">
        <v>297.52000000000004</v>
      </c>
      <c r="AD14" s="13">
        <v>336.20000000000005</v>
      </c>
      <c r="AE14" s="13">
        <v>297.09446570711003</v>
      </c>
      <c r="AF14" s="13">
        <f>542.58576605511-AF33</f>
        <v>429.58461463510997</v>
      </c>
      <c r="AG14" s="54">
        <f>462.20512787402-AG33</f>
        <v>367.09936456401999</v>
      </c>
      <c r="AH14" s="54">
        <f>396.62735860708-AH33</f>
        <v>297.17490132707997</v>
      </c>
      <c r="AI14" s="54">
        <f>415.76991396552-AI33</f>
        <v>297.09131362552</v>
      </c>
      <c r="AJ14" s="54">
        <f>470.80527333096-AJ33</f>
        <v>384.12393090095998</v>
      </c>
      <c r="AK14" s="54">
        <v>367.38</v>
      </c>
      <c r="AL14" s="125"/>
      <c r="AM14" s="46"/>
    </row>
    <row r="15" spans="1:39">
      <c r="A15" s="1">
        <v>10</v>
      </c>
      <c r="B15" s="5" t="s">
        <v>193</v>
      </c>
      <c r="C15" s="54">
        <f t="shared" si="1"/>
        <v>2781.4902345400001</v>
      </c>
      <c r="D15" s="54">
        <f t="shared" si="2"/>
        <v>2790.25</v>
      </c>
      <c r="E15" s="35">
        <f>D15/C15-1</f>
        <v>3.1493065663947828E-3</v>
      </c>
      <c r="G15" s="56">
        <f t="shared" si="0"/>
        <v>10</v>
      </c>
      <c r="H15" s="5" t="s">
        <v>193</v>
      </c>
      <c r="I15" s="13">
        <v>2298.0290426399997</v>
      </c>
      <c r="J15" s="13">
        <v>2289.0193435900001</v>
      </c>
      <c r="K15" s="13">
        <v>2303.73616958</v>
      </c>
      <c r="L15" s="13">
        <v>2262.9810454100002</v>
      </c>
      <c r="M15" s="13">
        <v>2276.3748615799996</v>
      </c>
      <c r="N15" s="13">
        <v>2240.46498006</v>
      </c>
      <c r="O15" s="13">
        <v>2281.9964221199998</v>
      </c>
      <c r="P15" s="13">
        <f>2576.04691683-P34</f>
        <v>2242.7578190900003</v>
      </c>
      <c r="Q15" s="13">
        <f>2601.2611478-Q34</f>
        <v>2257.6920767399997</v>
      </c>
      <c r="R15" s="13">
        <v>2247.1130673900002</v>
      </c>
      <c r="S15" s="13">
        <f>2674.75084135-S34</f>
        <v>2230.2975092900001</v>
      </c>
      <c r="T15" s="13">
        <v>2185.7482230700002</v>
      </c>
      <c r="U15" s="13">
        <f>2749.60490735-U34</f>
        <v>2317.5012676799997</v>
      </c>
      <c r="V15" s="13">
        <f>2740.20253576-V34</f>
        <v>2309.7141655300002</v>
      </c>
      <c r="W15" s="13">
        <f>2720.09146833-W34</f>
        <v>2308.2274280400002</v>
      </c>
      <c r="X15" s="13">
        <f>2741.98145781361-X34</f>
        <v>2331.50730189361</v>
      </c>
      <c r="Y15" s="13">
        <f>2717.96-Y34</f>
        <v>2322.7600000000002</v>
      </c>
      <c r="Z15" s="13">
        <f>2705.976-Z34</f>
        <v>2312.3760000000002</v>
      </c>
      <c r="AA15" s="13">
        <f>2649.348-AA34</f>
        <v>2275.9437433200001</v>
      </c>
      <c r="AB15" s="13">
        <f>3082.078-AB34</f>
        <v>2708.91780522</v>
      </c>
      <c r="AC15" s="13">
        <v>2726.27</v>
      </c>
      <c r="AD15" s="13">
        <v>2724.7799999999997</v>
      </c>
      <c r="AE15" s="13">
        <v>2735.2070388400002</v>
      </c>
      <c r="AF15" s="13">
        <f>3110.5115982571-AF34</f>
        <v>2779.2079943071003</v>
      </c>
      <c r="AG15" s="54">
        <f>3098.53024229-AG34</f>
        <v>2781.4902345400001</v>
      </c>
      <c r="AH15" s="54">
        <f>3095.15550304419-AH34</f>
        <v>2780.1934199341899</v>
      </c>
      <c r="AI15" s="54">
        <f>3079.06228918954-AI34</f>
        <v>2778.2397278195399</v>
      </c>
      <c r="AJ15" s="54">
        <f>3092.60975351764-AJ34</f>
        <v>2793.8976854276398</v>
      </c>
      <c r="AK15" s="54">
        <v>2790.25</v>
      </c>
      <c r="AL15" s="125"/>
      <c r="AM15" s="46"/>
    </row>
    <row r="16" spans="1:39">
      <c r="A16" s="1">
        <v>11</v>
      </c>
      <c r="B16" s="5" t="s">
        <v>194</v>
      </c>
      <c r="C16" s="54">
        <f t="shared" si="1"/>
        <v>2771.8630394812817</v>
      </c>
      <c r="D16" s="123">
        <f t="shared" si="2"/>
        <v>2853.3147218600002</v>
      </c>
      <c r="E16" s="35">
        <f t="shared" ref="E16" si="6">D16/C16-1</f>
        <v>2.938517568096044E-2</v>
      </c>
      <c r="G16" s="56">
        <f t="shared" si="0"/>
        <v>11</v>
      </c>
      <c r="H16" s="5" t="s">
        <v>194</v>
      </c>
      <c r="I16" s="13">
        <v>3333.1386763600008</v>
      </c>
      <c r="J16" s="13">
        <v>3449.5088040299997</v>
      </c>
      <c r="K16" s="13">
        <v>3495.1225780199998</v>
      </c>
      <c r="L16" s="13">
        <v>3491.2651895500003</v>
      </c>
      <c r="M16" s="13">
        <v>3568.4216285699999</v>
      </c>
      <c r="N16" s="13">
        <v>3429.0179052100002</v>
      </c>
      <c r="O16" s="13">
        <v>3485.0038620300002</v>
      </c>
      <c r="P16" s="13">
        <f>3856.93745521-P35</f>
        <v>3449.7166780299999</v>
      </c>
      <c r="Q16" s="13">
        <f>3924.4754199-Q35</f>
        <v>3513.0926275799998</v>
      </c>
      <c r="R16" s="13">
        <v>3354.0092946500004</v>
      </c>
      <c r="S16" s="13">
        <f>3818.75030389-S35</f>
        <v>3416.1084544400001</v>
      </c>
      <c r="T16" s="13">
        <v>3330.39901263</v>
      </c>
      <c r="U16" s="13">
        <f>3767.1044403-U35</f>
        <v>3368.4315138699999</v>
      </c>
      <c r="V16" s="13">
        <f>3662.38197328-V35</f>
        <v>3272.7585587599997</v>
      </c>
      <c r="W16" s="13">
        <f>3726.24614244-W35</f>
        <v>3341.4679784999998</v>
      </c>
      <c r="X16" s="13">
        <f>3585.36746942-X35</f>
        <v>3329.8676748499997</v>
      </c>
      <c r="Y16" s="13">
        <f>3546.10960949-Y35</f>
        <v>3295.19686215</v>
      </c>
      <c r="Z16" s="13">
        <f>3334.495-Z35</f>
        <v>3088.0364921699997</v>
      </c>
      <c r="AA16" s="13">
        <f>3923.286-AA35</f>
        <v>3683.4401203254592</v>
      </c>
      <c r="AB16" s="13">
        <f>2841.426-AB35</f>
        <v>2596.0407430499999</v>
      </c>
      <c r="AC16" s="90">
        <v>2615.6499999999996</v>
      </c>
      <c r="AD16" s="90">
        <v>2611.7799999999997</v>
      </c>
      <c r="AE16" s="90">
        <v>2686.3448447800001</v>
      </c>
      <c r="AF16" s="90">
        <f>2952.87638449-AF35</f>
        <v>2677.7029788199998</v>
      </c>
      <c r="AG16" s="124">
        <f>3055.63422723-AG35</f>
        <v>2771.8630394812817</v>
      </c>
      <c r="AH16" s="124">
        <f>3107.4072812-AH35</f>
        <v>2830.1322571680316</v>
      </c>
      <c r="AI16" s="124">
        <f>3233.28783324-AI35</f>
        <v>2939.85729068</v>
      </c>
      <c r="AJ16" s="124">
        <f>3097.27692122-AJ35</f>
        <v>2798.2076698600004</v>
      </c>
      <c r="AK16" s="124">
        <f>3152.9-AK35</f>
        <v>2853.3147218600002</v>
      </c>
      <c r="AL16" s="125"/>
      <c r="AM16" s="46"/>
    </row>
    <row r="17" spans="1:39" ht="4.5" customHeight="1">
      <c r="A17" s="1">
        <v>12</v>
      </c>
      <c r="C17" s="88"/>
      <c r="D17" s="88"/>
      <c r="E17" s="38"/>
      <c r="G17" s="56">
        <f t="shared" si="0"/>
        <v>12</v>
      </c>
      <c r="AG17" s="88"/>
      <c r="AH17" s="88"/>
      <c r="AI17" s="88"/>
      <c r="AJ17" s="88"/>
      <c r="AK17" s="88"/>
      <c r="AL17" s="125"/>
      <c r="AM17" s="46"/>
    </row>
    <row r="18" spans="1:39">
      <c r="A18" s="1">
        <v>13</v>
      </c>
      <c r="B18" s="112" t="s">
        <v>195</v>
      </c>
      <c r="C18" s="122">
        <f t="shared" si="1"/>
        <v>5920.4526385853023</v>
      </c>
      <c r="D18" s="122">
        <f t="shared" si="2"/>
        <v>6010.8995744768599</v>
      </c>
      <c r="E18" s="104">
        <f>D18/C18-1</f>
        <v>1.5277030560482574E-2</v>
      </c>
      <c r="G18" s="56">
        <f t="shared" si="0"/>
        <v>13</v>
      </c>
      <c r="H18" s="112" t="s">
        <v>195</v>
      </c>
      <c r="I18" s="103">
        <f>SUM(I14:I16)</f>
        <v>5963.2306540000009</v>
      </c>
      <c r="J18" s="103">
        <f t="shared" ref="J18" si="7">SUM(J14:J16)</f>
        <v>5996.1005710999998</v>
      </c>
      <c r="K18" s="103">
        <f>SUM(K14:K16)</f>
        <v>6050.0419892099999</v>
      </c>
      <c r="L18" s="103">
        <f t="shared" ref="L18:N18" si="8">SUM(L14:L16)</f>
        <v>6075.8403642700005</v>
      </c>
      <c r="M18" s="103">
        <f t="shared" si="8"/>
        <v>6156.2008316399997</v>
      </c>
      <c r="N18" s="103">
        <f t="shared" si="8"/>
        <v>5910.4028212400008</v>
      </c>
      <c r="O18" s="103">
        <f t="shared" ref="O18:R18" si="9">SUM(O14:O16)</f>
        <v>6005.1448391100002</v>
      </c>
      <c r="P18" s="103">
        <f t="shared" si="9"/>
        <v>5994.3771225500004</v>
      </c>
      <c r="Q18" s="103">
        <f t="shared" si="9"/>
        <v>6049.3754122399996</v>
      </c>
      <c r="R18" s="103">
        <f t="shared" si="9"/>
        <v>5818.4996340400012</v>
      </c>
      <c r="S18" s="103">
        <f t="shared" ref="S18:Y18" si="10">SUM(S14:S16)</f>
        <v>5873.0599255899997</v>
      </c>
      <c r="T18" s="103">
        <f t="shared" si="10"/>
        <v>5784.1357809500005</v>
      </c>
      <c r="U18" s="103">
        <f t="shared" si="10"/>
        <v>5931.17600322</v>
      </c>
      <c r="V18" s="103">
        <f t="shared" si="10"/>
        <v>5769.7528770700001</v>
      </c>
      <c r="W18" s="103">
        <f t="shared" si="10"/>
        <v>5843.1204401699997</v>
      </c>
      <c r="X18" s="103">
        <f t="shared" si="10"/>
        <v>5876.7761575741733</v>
      </c>
      <c r="Y18" s="103">
        <f t="shared" si="10"/>
        <v>5959.6935400399998</v>
      </c>
      <c r="Z18" s="103">
        <f>SUM(Z14:Z16)</f>
        <v>5731.7145171299999</v>
      </c>
      <c r="AA18" s="103">
        <f>SUM(AA14:AA16)</f>
        <v>6438.5823065754594</v>
      </c>
      <c r="AB18" s="103">
        <f>SUM(AB14:AB16)</f>
        <v>5897.7884625999995</v>
      </c>
      <c r="AC18" s="103">
        <f>SUM(AC14:AC16)</f>
        <v>5639.44</v>
      </c>
      <c r="AD18" s="103">
        <f>SUM(AD14:AD16)</f>
        <v>5672.7599999999993</v>
      </c>
      <c r="AE18" s="103">
        <f>+AE14+AE15+AE16</f>
        <v>5718.6463493271103</v>
      </c>
      <c r="AF18" s="103">
        <f>+AF14+AF15+AF16</f>
        <v>5886.4955877622106</v>
      </c>
      <c r="AG18" s="122">
        <f>+AG14+AG15+AG16</f>
        <v>5920.4526385853023</v>
      </c>
      <c r="AH18" s="122">
        <f>+SUM(AH14:AH16)</f>
        <v>5907.5005784293016</v>
      </c>
      <c r="AI18" s="122">
        <f>SUM(AI14:AI16)</f>
        <v>6015.1883321250598</v>
      </c>
      <c r="AJ18" s="122">
        <f>6660.6919480686-AJ37</f>
        <v>5976.2292861885999</v>
      </c>
      <c r="AK18" s="122">
        <f>6680.31162363686-AK37</f>
        <v>6010.8995744768599</v>
      </c>
      <c r="AL18" s="125"/>
      <c r="AM18" s="46"/>
    </row>
    <row r="23" spans="1:39" ht="23.5">
      <c r="B23" s="11" t="s">
        <v>37</v>
      </c>
      <c r="C23" s="12"/>
      <c r="D23" s="12"/>
      <c r="E23" s="12"/>
      <c r="H23" s="11" t="s">
        <v>37</v>
      </c>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row>
    <row r="24" spans="1:39" ht="7.5" customHeight="1"/>
    <row r="25" spans="1:39">
      <c r="A25" s="1">
        <v>1</v>
      </c>
      <c r="B25" s="100" t="s">
        <v>188</v>
      </c>
      <c r="C25" s="141" t="str">
        <f>C6</f>
        <v>1Q23</v>
      </c>
      <c r="D25" s="141" t="str">
        <f>D6</f>
        <v>1Q24</v>
      </c>
      <c r="E25" s="141" t="s">
        <v>75</v>
      </c>
      <c r="G25" s="56">
        <v>1</v>
      </c>
      <c r="H25" s="100" t="s">
        <v>188</v>
      </c>
      <c r="I25" s="141" t="s">
        <v>89</v>
      </c>
      <c r="J25" s="141" t="s">
        <v>90</v>
      </c>
      <c r="K25" s="141" t="s">
        <v>91</v>
      </c>
      <c r="L25" s="141" t="s">
        <v>92</v>
      </c>
      <c r="M25" s="141" t="s">
        <v>93</v>
      </c>
      <c r="N25" s="141" t="s">
        <v>94</v>
      </c>
      <c r="O25" s="141" t="s">
        <v>95</v>
      </c>
      <c r="P25" s="141" t="s">
        <v>96</v>
      </c>
      <c r="Q25" s="141" t="s">
        <v>97</v>
      </c>
      <c r="R25" s="141" t="s">
        <v>98</v>
      </c>
      <c r="S25" s="141" t="s">
        <v>99</v>
      </c>
      <c r="T25" s="141" t="s">
        <v>100</v>
      </c>
      <c r="U25" s="141" t="s">
        <v>101</v>
      </c>
      <c r="V25" s="141" t="s">
        <v>102</v>
      </c>
      <c r="W25" s="141" t="s">
        <v>103</v>
      </c>
      <c r="X25" s="141" t="s">
        <v>104</v>
      </c>
      <c r="Y25" s="141" t="s">
        <v>105</v>
      </c>
      <c r="Z25" s="141" t="s">
        <v>106</v>
      </c>
      <c r="AA25" s="141" t="s">
        <v>107</v>
      </c>
      <c r="AB25" s="141" t="s">
        <v>108</v>
      </c>
      <c r="AC25" s="141" t="s">
        <v>109</v>
      </c>
      <c r="AD25" s="141" t="s">
        <v>110</v>
      </c>
      <c r="AE25" s="141" t="s">
        <v>111</v>
      </c>
      <c r="AF25" s="141" t="s">
        <v>112</v>
      </c>
      <c r="AG25" s="141" t="s">
        <v>73</v>
      </c>
      <c r="AH25" s="141" t="s">
        <v>113</v>
      </c>
      <c r="AI25" s="141" t="s">
        <v>114</v>
      </c>
      <c r="AJ25" s="141" t="s">
        <v>115</v>
      </c>
      <c r="AK25" s="141" t="s">
        <v>74</v>
      </c>
    </row>
    <row r="26" spans="1:39">
      <c r="A26" s="1">
        <v>2</v>
      </c>
      <c r="B26" s="100" t="s">
        <v>141</v>
      </c>
      <c r="C26" s="141"/>
      <c r="D26" s="141"/>
      <c r="E26" s="141"/>
      <c r="G26" s="56">
        <f>G25+1</f>
        <v>2</v>
      </c>
      <c r="H26" s="100" t="s">
        <v>141</v>
      </c>
      <c r="I26" s="141"/>
      <c r="J26" s="141"/>
      <c r="K26" s="141"/>
      <c r="L26" s="141"/>
      <c r="M26" s="141"/>
      <c r="N26" s="141"/>
      <c r="O26" s="141"/>
      <c r="P26" s="141"/>
      <c r="Q26" s="141"/>
      <c r="R26" s="141"/>
      <c r="S26" s="141"/>
      <c r="T26" s="141"/>
      <c r="U26" s="141"/>
      <c r="V26" s="141"/>
      <c r="W26" s="141"/>
      <c r="X26" s="141"/>
      <c r="Y26" s="141"/>
      <c r="Z26" s="141"/>
      <c r="AA26" s="141"/>
      <c r="AB26" s="141"/>
      <c r="AC26" s="141"/>
      <c r="AD26" s="141"/>
      <c r="AE26" s="141"/>
      <c r="AF26" s="141"/>
      <c r="AG26" s="141"/>
      <c r="AH26" s="141"/>
      <c r="AI26" s="141"/>
      <c r="AJ26" s="141"/>
      <c r="AK26" s="141"/>
    </row>
    <row r="27" spans="1:39" ht="4.5" customHeight="1">
      <c r="A27" s="1">
        <v>3</v>
      </c>
      <c r="G27" s="56">
        <f t="shared" ref="G27:G37" si="11">G26+1</f>
        <v>3</v>
      </c>
    </row>
    <row r="28" spans="1:39">
      <c r="A28" s="1">
        <v>4</v>
      </c>
      <c r="B28" s="5" t="s">
        <v>189</v>
      </c>
      <c r="C28" s="13">
        <f t="shared" ref="C28:C37" si="12">HLOOKUP($C$25,$H$25:$BF$37,$G28,FALSE)</f>
        <v>81.579467939166221</v>
      </c>
      <c r="D28" s="13">
        <f t="shared" ref="D28:D37" si="13">HLOOKUP($D$25,$H$25:$BF$37,$G28,FALSE)</f>
        <v>87.578628250000008</v>
      </c>
      <c r="E28" s="35">
        <f>D28/C28-1</f>
        <v>7.3537624875261054E-2</v>
      </c>
      <c r="G28" s="56">
        <f t="shared" si="11"/>
        <v>4</v>
      </c>
      <c r="H28" s="5" t="s">
        <v>189</v>
      </c>
      <c r="I28" s="13">
        <v>99.084344999999999</v>
      </c>
      <c r="J28" s="13">
        <v>101.61696936</v>
      </c>
      <c r="K28" s="13">
        <v>103.71705962999999</v>
      </c>
      <c r="L28" s="13">
        <v>110.32355256999999</v>
      </c>
      <c r="M28" s="13">
        <v>97.451427910000007</v>
      </c>
      <c r="N28" s="13">
        <v>104.49759676000001</v>
      </c>
      <c r="O28" s="13">
        <v>97.678491099999988</v>
      </c>
      <c r="P28" s="13">
        <v>71.835890230000004</v>
      </c>
      <c r="Q28" s="13">
        <v>66.734628219999991</v>
      </c>
      <c r="R28" s="13">
        <v>67.594024689999998</v>
      </c>
      <c r="S28" s="13">
        <v>60.578654739999998</v>
      </c>
      <c r="T28" s="13">
        <v>70.365920110000005</v>
      </c>
      <c r="U28" s="13">
        <v>73.805152500000005</v>
      </c>
      <c r="V28" s="13">
        <v>91.276247429999998</v>
      </c>
      <c r="W28" s="13">
        <v>78.185416680000003</v>
      </c>
      <c r="X28" s="13">
        <v>74.501601039999997</v>
      </c>
      <c r="Y28" s="13">
        <v>64.393371309999992</v>
      </c>
      <c r="Z28" s="13">
        <v>76.528576600000008</v>
      </c>
      <c r="AA28" s="13">
        <v>60.748749866711798</v>
      </c>
      <c r="AB28" s="13">
        <v>65.343655979999994</v>
      </c>
      <c r="AC28" s="13">
        <v>65.586164040637385</v>
      </c>
      <c r="AD28" s="13">
        <v>77.477328758716951</v>
      </c>
      <c r="AE28" s="13">
        <v>66.642265366065686</v>
      </c>
      <c r="AF28" s="13">
        <v>103.05198004650559</v>
      </c>
      <c r="AG28" s="13">
        <v>81.579467939166221</v>
      </c>
      <c r="AH28" s="13">
        <v>75.486294519961703</v>
      </c>
      <c r="AI28" s="13">
        <v>112.14266333</v>
      </c>
      <c r="AJ28" s="13">
        <v>91.807480220000002</v>
      </c>
      <c r="AK28" s="13">
        <v>87.578628250000008</v>
      </c>
    </row>
    <row r="29" spans="1:39">
      <c r="A29" s="1">
        <v>5</v>
      </c>
      <c r="B29" s="5" t="s">
        <v>190</v>
      </c>
      <c r="C29" s="13">
        <f t="shared" si="12"/>
        <v>614.33749086771593</v>
      </c>
      <c r="D29" s="13">
        <f t="shared" si="13"/>
        <v>581.83342091000031</v>
      </c>
      <c r="E29" s="35">
        <f>D29/C29-1</f>
        <v>-5.290914267954816E-2</v>
      </c>
      <c r="G29" s="56">
        <f t="shared" si="11"/>
        <v>5</v>
      </c>
      <c r="H29" s="5" t="s">
        <v>190</v>
      </c>
      <c r="I29" s="13">
        <v>734.85100731999989</v>
      </c>
      <c r="J29" s="13">
        <v>728.05867406999994</v>
      </c>
      <c r="K29" s="13">
        <v>743.07765096000014</v>
      </c>
      <c r="L29" s="13">
        <v>736.37788302000001</v>
      </c>
      <c r="M29" s="13">
        <v>732.46127262999994</v>
      </c>
      <c r="N29" s="13">
        <v>723.52039917000002</v>
      </c>
      <c r="O29" s="13">
        <v>716.73618529000032</v>
      </c>
      <c r="P29" s="13">
        <v>712.13567955000008</v>
      </c>
      <c r="Q29" s="13">
        <v>734.36199522000004</v>
      </c>
      <c r="R29" s="13">
        <v>861.97988807999991</v>
      </c>
      <c r="S29" s="13">
        <v>846.46210432999999</v>
      </c>
      <c r="T29" s="13">
        <v>850.84815062999985</v>
      </c>
      <c r="U29" s="13">
        <v>856.51394486999993</v>
      </c>
      <c r="V29" s="13">
        <v>841.63348233999989</v>
      </c>
      <c r="W29" s="13">
        <v>810.33256488999984</v>
      </c>
      <c r="X29" s="13">
        <v>682.61372834999975</v>
      </c>
      <c r="Y29" s="13">
        <v>669.62849803999984</v>
      </c>
      <c r="Z29" s="13">
        <v>659.51417529999992</v>
      </c>
      <c r="AA29" s="13">
        <v>644.9404339803865</v>
      </c>
      <c r="AB29" s="13">
        <v>639.35080313999947</v>
      </c>
      <c r="AC29" s="13">
        <v>644.24248148931088</v>
      </c>
      <c r="AD29" s="13">
        <v>634.60129822443957</v>
      </c>
      <c r="AE29" s="13">
        <v>620.65396958378119</v>
      </c>
      <c r="AF29" s="13">
        <v>616.42618090415044</v>
      </c>
      <c r="AG29" s="13">
        <v>614.33749086771593</v>
      </c>
      <c r="AH29" s="13">
        <v>616.20326989380942</v>
      </c>
      <c r="AI29" s="13">
        <v>600.78904094000018</v>
      </c>
      <c r="AJ29" s="13">
        <v>592.65518166000015</v>
      </c>
      <c r="AK29" s="13">
        <v>581.83342091000031</v>
      </c>
    </row>
    <row r="30" spans="1:39" ht="4.5" customHeight="1">
      <c r="A30" s="1">
        <v>6</v>
      </c>
      <c r="E30" s="38"/>
      <c r="G30" s="56">
        <f t="shared" si="11"/>
        <v>6</v>
      </c>
    </row>
    <row r="31" spans="1:39">
      <c r="A31" s="1">
        <v>7</v>
      </c>
      <c r="B31" s="112" t="s">
        <v>191</v>
      </c>
      <c r="C31" s="103">
        <f t="shared" si="12"/>
        <v>695.91695880688212</v>
      </c>
      <c r="D31" s="103">
        <f t="shared" si="13"/>
        <v>669.41204916000038</v>
      </c>
      <c r="E31" s="104">
        <f>D31/C31-1</f>
        <v>-3.8086310890200425E-2</v>
      </c>
      <c r="G31" s="56">
        <f t="shared" si="11"/>
        <v>7</v>
      </c>
      <c r="H31" s="112" t="s">
        <v>191</v>
      </c>
      <c r="I31" s="103">
        <f>I29+I28</f>
        <v>833.93535231999988</v>
      </c>
      <c r="J31" s="103">
        <f t="shared" ref="J31:K31" si="14">J29+J28</f>
        <v>829.67564342999992</v>
      </c>
      <c r="K31" s="103">
        <f t="shared" si="14"/>
        <v>846.79471059000014</v>
      </c>
      <c r="L31" s="103">
        <f t="shared" ref="L31:N31" si="15">L29+L28</f>
        <v>846.70143558999996</v>
      </c>
      <c r="M31" s="103">
        <f t="shared" si="15"/>
        <v>829.91270053999995</v>
      </c>
      <c r="N31" s="103">
        <f t="shared" si="15"/>
        <v>828.01799592999998</v>
      </c>
      <c r="O31" s="103">
        <f t="shared" ref="O31" si="16">O29+O28</f>
        <v>814.4146763900003</v>
      </c>
      <c r="P31" s="103">
        <f t="shared" ref="P31:AA31" si="17">+P28+P29</f>
        <v>783.9715697800001</v>
      </c>
      <c r="Q31" s="103">
        <f t="shared" si="17"/>
        <v>801.09662344000003</v>
      </c>
      <c r="R31" s="103">
        <f t="shared" si="17"/>
        <v>929.57391276999988</v>
      </c>
      <c r="S31" s="103">
        <f t="shared" si="17"/>
        <v>907.04075907000004</v>
      </c>
      <c r="T31" s="103">
        <f t="shared" si="17"/>
        <v>921.2140707399999</v>
      </c>
      <c r="U31" s="103">
        <f t="shared" si="17"/>
        <v>930.31909736999989</v>
      </c>
      <c r="V31" s="103">
        <f t="shared" si="17"/>
        <v>932.9097297699999</v>
      </c>
      <c r="W31" s="103">
        <f t="shared" si="17"/>
        <v>888.51798156999985</v>
      </c>
      <c r="X31" s="103">
        <f t="shared" si="17"/>
        <v>757.11532938999972</v>
      </c>
      <c r="Y31" s="103">
        <f t="shared" si="17"/>
        <v>734.02186934999986</v>
      </c>
      <c r="Z31" s="103">
        <f t="shared" si="17"/>
        <v>736.04275189999998</v>
      </c>
      <c r="AA31" s="103">
        <f t="shared" si="17"/>
        <v>705.68918384709832</v>
      </c>
      <c r="AB31" s="103">
        <f t="shared" ref="AB31:AH31" si="18">+AB28+AB29</f>
        <v>704.69445911999946</v>
      </c>
      <c r="AC31" s="103">
        <f t="shared" si="18"/>
        <v>709.82864552994829</v>
      </c>
      <c r="AD31" s="103">
        <f t="shared" si="18"/>
        <v>712.07862698315648</v>
      </c>
      <c r="AE31" s="103">
        <f t="shared" si="18"/>
        <v>687.29623494984685</v>
      </c>
      <c r="AF31" s="103">
        <f t="shared" si="18"/>
        <v>719.47816095065605</v>
      </c>
      <c r="AG31" s="103">
        <f t="shared" si="18"/>
        <v>695.91695880688212</v>
      </c>
      <c r="AH31" s="103">
        <f t="shared" si="18"/>
        <v>691.68956441377111</v>
      </c>
      <c r="AI31" s="103">
        <v>712.93170427000018</v>
      </c>
      <c r="AJ31" s="103">
        <f>SUM(AJ28:AJ29)</f>
        <v>684.46266188000016</v>
      </c>
      <c r="AK31" s="103">
        <f>SUM(AK28:AK29)</f>
        <v>669.41204916000038</v>
      </c>
    </row>
    <row r="32" spans="1:39" ht="4.5" customHeight="1">
      <c r="A32" s="1">
        <v>8</v>
      </c>
      <c r="E32" s="38"/>
      <c r="G32" s="56">
        <f t="shared" si="11"/>
        <v>8</v>
      </c>
    </row>
    <row r="33" spans="1:37">
      <c r="A33" s="1">
        <v>9</v>
      </c>
      <c r="B33" s="5" t="s">
        <v>192</v>
      </c>
      <c r="C33" s="13">
        <f t="shared" si="12"/>
        <v>95.105763310000015</v>
      </c>
      <c r="D33" s="13">
        <f t="shared" si="13"/>
        <v>81.363274940000011</v>
      </c>
      <c r="E33" s="35">
        <f>D33/C33-1</f>
        <v>-0.14449690420133599</v>
      </c>
      <c r="G33" s="56">
        <f t="shared" si="11"/>
        <v>9</v>
      </c>
      <c r="H33" s="5" t="s">
        <v>192</v>
      </c>
      <c r="I33" s="13">
        <v>22.336485010000001</v>
      </c>
      <c r="J33" s="13">
        <v>20.85197148</v>
      </c>
      <c r="K33" s="13">
        <v>28.26018797</v>
      </c>
      <c r="L33" s="13">
        <v>33.207928359999997</v>
      </c>
      <c r="M33" s="13">
        <v>34.073178300000009</v>
      </c>
      <c r="N33" s="13">
        <v>35.731892770000002</v>
      </c>
      <c r="O33" s="13">
        <v>42.527268629999995</v>
      </c>
      <c r="P33" s="13">
        <v>43.461694860000001</v>
      </c>
      <c r="Q33" s="13">
        <v>46.144760060000003</v>
      </c>
      <c r="R33" s="13">
        <v>53.074400949999998</v>
      </c>
      <c r="S33" s="13">
        <v>59.945577559999997</v>
      </c>
      <c r="T33" s="13">
        <v>70.349828369999997</v>
      </c>
      <c r="U33" s="13">
        <v>99.542531269999998</v>
      </c>
      <c r="V33" s="13">
        <v>112.79794502</v>
      </c>
      <c r="W33" s="13">
        <v>91.875777339999999</v>
      </c>
      <c r="X33" s="13">
        <v>91.141456650000023</v>
      </c>
      <c r="Y33" s="13">
        <v>87.920444109999991</v>
      </c>
      <c r="Z33" s="13">
        <v>95.916975039999997</v>
      </c>
      <c r="AA33" s="13">
        <v>92.404557069999981</v>
      </c>
      <c r="AB33" s="13">
        <v>86.174085669999997</v>
      </c>
      <c r="AC33" s="13">
        <v>90.871895529999989</v>
      </c>
      <c r="AD33" s="13">
        <v>97.624676279999989</v>
      </c>
      <c r="AE33" s="13">
        <v>93.492296210000006</v>
      </c>
      <c r="AF33" s="13">
        <v>113.00115142</v>
      </c>
      <c r="AG33" s="13">
        <v>95.105763310000015</v>
      </c>
      <c r="AH33" s="13">
        <v>99.452457280000004</v>
      </c>
      <c r="AI33" s="13">
        <v>118.67860034000002</v>
      </c>
      <c r="AJ33" s="13">
        <v>86.681342430000001</v>
      </c>
      <c r="AK33" s="13">
        <v>81.363274940000011</v>
      </c>
    </row>
    <row r="34" spans="1:37">
      <c r="A34" s="1">
        <v>10</v>
      </c>
      <c r="B34" s="5" t="s">
        <v>196</v>
      </c>
      <c r="C34" s="13">
        <f t="shared" si="12"/>
        <v>317.04000774999997</v>
      </c>
      <c r="D34" s="13">
        <f t="shared" si="13"/>
        <v>288.46349608000003</v>
      </c>
      <c r="E34" s="35">
        <f t="shared" ref="E34:E35" si="19">D34/C34-1</f>
        <v>-9.0135348761831269E-2</v>
      </c>
      <c r="G34" s="56">
        <f t="shared" si="11"/>
        <v>10</v>
      </c>
      <c r="H34" s="5" t="s">
        <v>196</v>
      </c>
      <c r="I34" s="13">
        <v>374.89243102999995</v>
      </c>
      <c r="J34" s="13">
        <v>373.39117074000001</v>
      </c>
      <c r="K34" s="13">
        <v>358.59106495999998</v>
      </c>
      <c r="L34" s="13">
        <v>354.05204652999998</v>
      </c>
      <c r="M34" s="13">
        <v>347.86783338999999</v>
      </c>
      <c r="N34" s="13">
        <v>347.68134299999997</v>
      </c>
      <c r="O34" s="13">
        <v>333.21886042</v>
      </c>
      <c r="P34" s="13">
        <v>333.28909773999993</v>
      </c>
      <c r="Q34" s="13">
        <v>343.56907105999994</v>
      </c>
      <c r="R34" s="13">
        <v>464.94667656999997</v>
      </c>
      <c r="S34" s="13">
        <v>444.45333205999998</v>
      </c>
      <c r="T34" s="13">
        <v>445.62806600999994</v>
      </c>
      <c r="U34" s="13">
        <v>432.10363967000006</v>
      </c>
      <c r="V34" s="13">
        <v>430.48837023000004</v>
      </c>
      <c r="W34" s="13">
        <v>411.86404028999999</v>
      </c>
      <c r="X34" s="13">
        <v>410.47415591999999</v>
      </c>
      <c r="Y34" s="13">
        <v>395.2</v>
      </c>
      <c r="Z34" s="13">
        <v>393.59999999999997</v>
      </c>
      <c r="AA34" s="13">
        <v>373.40425668</v>
      </c>
      <c r="AB34" s="13">
        <v>373.16019477999998</v>
      </c>
      <c r="AC34" s="13">
        <v>356.72701661999997</v>
      </c>
      <c r="AD34" s="13">
        <v>354.46523908000006</v>
      </c>
      <c r="AE34" s="13">
        <v>333.56939058</v>
      </c>
      <c r="AF34" s="13">
        <v>331.30360394999997</v>
      </c>
      <c r="AG34" s="13">
        <v>317.04000774999997</v>
      </c>
      <c r="AH34" s="13">
        <v>314.96208311000004</v>
      </c>
      <c r="AI34" s="13">
        <v>300.82256137000002</v>
      </c>
      <c r="AJ34" s="13">
        <v>298.71206809</v>
      </c>
      <c r="AK34" s="13">
        <v>288.46349608000003</v>
      </c>
    </row>
    <row r="35" spans="1:37">
      <c r="A35" s="1">
        <v>11</v>
      </c>
      <c r="B35" s="5" t="s">
        <v>197</v>
      </c>
      <c r="C35" s="13">
        <f t="shared" si="12"/>
        <v>283.77118774871826</v>
      </c>
      <c r="D35" s="13">
        <f t="shared" si="13"/>
        <v>299.58527814000001</v>
      </c>
      <c r="E35" s="35">
        <f t="shared" si="19"/>
        <v>5.5728315889790991E-2</v>
      </c>
      <c r="G35" s="56">
        <f t="shared" si="11"/>
        <v>11</v>
      </c>
      <c r="H35" s="5" t="s">
        <v>197</v>
      </c>
      <c r="I35" s="13">
        <v>436.70643628000005</v>
      </c>
      <c r="J35" s="13">
        <v>435.43250121000005</v>
      </c>
      <c r="K35" s="13">
        <v>459.94345766000004</v>
      </c>
      <c r="L35" s="13">
        <v>459.44146069999994</v>
      </c>
      <c r="M35" s="13">
        <v>447.97168884999991</v>
      </c>
      <c r="N35" s="13">
        <v>444.60476015999996</v>
      </c>
      <c r="O35" s="13">
        <v>438.66854733999998</v>
      </c>
      <c r="P35" s="13">
        <v>407.22077717999997</v>
      </c>
      <c r="Q35" s="13">
        <v>411.38279232000002</v>
      </c>
      <c r="R35" s="13">
        <v>411.55283524999999</v>
      </c>
      <c r="S35" s="13">
        <v>402.64184945</v>
      </c>
      <c r="T35" s="13">
        <v>405.23617636</v>
      </c>
      <c r="U35" s="13">
        <v>398.67292643000002</v>
      </c>
      <c r="V35" s="13">
        <v>389.62341451999998</v>
      </c>
      <c r="W35" s="13">
        <v>384.77816394000001</v>
      </c>
      <c r="X35" s="13">
        <v>255.49979457000001</v>
      </c>
      <c r="Y35" s="13">
        <v>250.91274734000004</v>
      </c>
      <c r="Z35" s="13">
        <v>246.45850783000003</v>
      </c>
      <c r="AA35" s="13">
        <v>239.84587967454101</v>
      </c>
      <c r="AB35" s="13">
        <v>245.38525695000001</v>
      </c>
      <c r="AC35" s="13">
        <v>262.22684147986359</v>
      </c>
      <c r="AD35" s="13">
        <v>259.98871162307182</v>
      </c>
      <c r="AE35" s="13">
        <v>260.23454816000003</v>
      </c>
      <c r="AF35" s="13">
        <v>275.17340567000002</v>
      </c>
      <c r="AG35" s="13">
        <v>283.77118774871826</v>
      </c>
      <c r="AH35" s="79">
        <v>277.27502403196837</v>
      </c>
      <c r="AI35" s="13">
        <v>293.43054256000005</v>
      </c>
      <c r="AJ35" s="13">
        <v>299.06925135999995</v>
      </c>
      <c r="AK35" s="13">
        <v>299.58527814000001</v>
      </c>
    </row>
    <row r="36" spans="1:37" ht="4.5" customHeight="1">
      <c r="A36" s="1">
        <v>12</v>
      </c>
      <c r="E36" s="38"/>
      <c r="G36" s="56">
        <f t="shared" si="11"/>
        <v>12</v>
      </c>
    </row>
    <row r="37" spans="1:37">
      <c r="A37" s="1">
        <v>13</v>
      </c>
      <c r="B37" s="112" t="s">
        <v>195</v>
      </c>
      <c r="C37" s="103">
        <f t="shared" si="12"/>
        <v>695.91695880871828</v>
      </c>
      <c r="D37" s="103">
        <f t="shared" si="13"/>
        <v>669.41204916000004</v>
      </c>
      <c r="E37" s="104">
        <f>D37/C37-1</f>
        <v>-3.808631089273895E-2</v>
      </c>
      <c r="G37" s="56">
        <f t="shared" si="11"/>
        <v>13</v>
      </c>
      <c r="H37" s="112" t="s">
        <v>195</v>
      </c>
      <c r="I37" s="103">
        <f>SUM(I33:I35)</f>
        <v>833.93535231999999</v>
      </c>
      <c r="J37" s="103">
        <f t="shared" ref="J37:K37" si="20">SUM(J33:J35)</f>
        <v>829.67564343000004</v>
      </c>
      <c r="K37" s="103">
        <f t="shared" si="20"/>
        <v>846.79471059000002</v>
      </c>
      <c r="L37" s="103">
        <f t="shared" ref="L37:N37" si="21">SUM(L33:L35)</f>
        <v>846.70143558999985</v>
      </c>
      <c r="M37" s="103">
        <f t="shared" si="21"/>
        <v>829.91270053999983</v>
      </c>
      <c r="N37" s="103">
        <f t="shared" si="21"/>
        <v>828.01799592999987</v>
      </c>
      <c r="O37" s="103">
        <f t="shared" ref="O37:S37" si="22">SUM(O33:O35)</f>
        <v>814.41467638999995</v>
      </c>
      <c r="P37" s="103">
        <f t="shared" si="22"/>
        <v>783.97156977999998</v>
      </c>
      <c r="Q37" s="103">
        <f t="shared" si="22"/>
        <v>801.09662344000003</v>
      </c>
      <c r="R37" s="103">
        <f t="shared" si="22"/>
        <v>929.57391276999988</v>
      </c>
      <c r="S37" s="103">
        <f t="shared" si="22"/>
        <v>907.04075906999992</v>
      </c>
      <c r="T37" s="103">
        <f t="shared" ref="T37:U37" si="23">SUM(T33:T35)</f>
        <v>921.2140707399999</v>
      </c>
      <c r="U37" s="103">
        <f t="shared" si="23"/>
        <v>930.31909737000001</v>
      </c>
      <c r="V37" s="103">
        <f>SUM(V33:V35)</f>
        <v>932.90972977000001</v>
      </c>
      <c r="W37" s="103">
        <f>SUM(W33:W35)</f>
        <v>888.51798157000007</v>
      </c>
      <c r="X37" s="103">
        <f>SUM(X33:X35)</f>
        <v>757.11540714</v>
      </c>
      <c r="Y37" s="103">
        <f t="shared" ref="Y37" si="24">SUM(Y33:Y35)</f>
        <v>734.03319145</v>
      </c>
      <c r="Z37" s="103">
        <f t="shared" ref="Z37:AF37" si="25">SUM(Z33:Z35)</f>
        <v>735.97548286999995</v>
      </c>
      <c r="AA37" s="103">
        <f t="shared" si="25"/>
        <v>705.65469342454105</v>
      </c>
      <c r="AB37" s="103">
        <f t="shared" si="25"/>
        <v>704.71953740000004</v>
      </c>
      <c r="AC37" s="103">
        <f t="shared" si="25"/>
        <v>709.82575362986358</v>
      </c>
      <c r="AD37" s="103">
        <f t="shared" si="25"/>
        <v>712.0786269830719</v>
      </c>
      <c r="AE37" s="103">
        <f t="shared" si="25"/>
        <v>687.2962349500001</v>
      </c>
      <c r="AF37" s="103">
        <f t="shared" si="25"/>
        <v>719.47816104000003</v>
      </c>
      <c r="AG37" s="103">
        <f>+AG33+AG34+AG35</f>
        <v>695.91695880871828</v>
      </c>
      <c r="AH37" s="103">
        <f t="shared" ref="AH37" si="26">+AH33+AH34+AH35</f>
        <v>691.6895644219685</v>
      </c>
      <c r="AI37" s="103">
        <f>+AI33+AI34+AI35</f>
        <v>712.93170427000007</v>
      </c>
      <c r="AJ37" s="103">
        <f>SUM(AJ33:AJ35)</f>
        <v>684.46266187999993</v>
      </c>
      <c r="AK37" s="103">
        <v>669.41204916000004</v>
      </c>
    </row>
    <row r="39" spans="1:37">
      <c r="AG39" s="51"/>
      <c r="AH39" s="51"/>
    </row>
    <row r="40" spans="1:37">
      <c r="P40" s="51"/>
      <c r="T40" s="51"/>
      <c r="U40" s="51"/>
      <c r="V40" s="51"/>
      <c r="W40" s="51"/>
      <c r="X40" s="51"/>
      <c r="Y40" s="51"/>
      <c r="Z40" s="51"/>
      <c r="AA40" s="51"/>
      <c r="AB40" s="51"/>
      <c r="AC40" s="51"/>
      <c r="AD40" s="51"/>
      <c r="AF40" s="51"/>
      <c r="AG40" s="51"/>
      <c r="AH40" s="51"/>
      <c r="AI40" s="51"/>
      <c r="AJ40" s="51"/>
      <c r="AK40" s="51"/>
    </row>
    <row r="41" spans="1:37">
      <c r="P41" s="51"/>
      <c r="T41" s="51"/>
      <c r="U41" s="51"/>
      <c r="V41" s="51"/>
      <c r="W41" s="51"/>
      <c r="X41" s="51"/>
      <c r="Y41" s="51"/>
      <c r="Z41" s="51"/>
      <c r="AA41" s="51"/>
      <c r="AB41" s="51"/>
      <c r="AC41" s="51"/>
      <c r="AD41" s="51"/>
      <c r="AF41" s="51"/>
      <c r="AG41" s="51"/>
      <c r="AH41" s="51"/>
      <c r="AI41" s="51"/>
      <c r="AJ41" s="51"/>
      <c r="AK41" s="51"/>
    </row>
    <row r="42" spans="1:37">
      <c r="P42" s="51"/>
      <c r="T42" s="51"/>
      <c r="U42" s="51"/>
      <c r="V42" s="51"/>
      <c r="W42" s="51"/>
      <c r="X42" s="51"/>
      <c r="Y42" s="51"/>
      <c r="Z42" s="51"/>
      <c r="AA42" s="51"/>
      <c r="AB42" s="51"/>
      <c r="AC42" s="51"/>
      <c r="AD42" s="51"/>
    </row>
    <row r="43" spans="1:37">
      <c r="P43" s="51"/>
      <c r="T43" s="51"/>
      <c r="U43" s="51"/>
      <c r="V43" s="51"/>
      <c r="W43" s="51"/>
      <c r="X43" s="51"/>
      <c r="Y43" s="51"/>
      <c r="Z43" s="51"/>
      <c r="AA43" s="51"/>
      <c r="AB43" s="51"/>
      <c r="AC43" s="51"/>
      <c r="AD43" s="51"/>
      <c r="AF43" s="51"/>
      <c r="AG43" s="51"/>
      <c r="AH43" s="51"/>
      <c r="AI43" s="51"/>
      <c r="AJ43" s="51"/>
      <c r="AK43" s="51"/>
    </row>
    <row r="44" spans="1:37">
      <c r="P44" s="51"/>
      <c r="T44" s="51"/>
      <c r="U44" s="51"/>
      <c r="V44" s="51"/>
      <c r="W44" s="51"/>
      <c r="X44" s="51"/>
      <c r="Y44" s="51"/>
      <c r="Z44" s="51"/>
      <c r="AA44" s="51"/>
      <c r="AB44" s="51"/>
      <c r="AC44" s="51"/>
      <c r="AD44" s="51"/>
      <c r="AF44" s="51"/>
      <c r="AG44" s="51"/>
      <c r="AH44" s="51"/>
      <c r="AI44" s="51"/>
      <c r="AJ44" s="51"/>
      <c r="AK44" s="51"/>
    </row>
    <row r="45" spans="1:37">
      <c r="P45" s="51"/>
      <c r="T45" s="51"/>
      <c r="U45" s="51"/>
      <c r="V45" s="51"/>
      <c r="W45" s="51"/>
      <c r="X45" s="51"/>
      <c r="Y45" s="51"/>
      <c r="Z45" s="51"/>
      <c r="AA45" s="51"/>
      <c r="AB45" s="51"/>
      <c r="AC45" s="51"/>
      <c r="AD45" s="51"/>
      <c r="AF45" s="51"/>
      <c r="AG45" s="51"/>
      <c r="AH45" s="51"/>
      <c r="AI45" s="51"/>
      <c r="AJ45" s="51"/>
      <c r="AK45" s="51"/>
    </row>
    <row r="46" spans="1:37">
      <c r="P46" s="51"/>
      <c r="T46" s="51"/>
      <c r="U46" s="51"/>
      <c r="V46" s="51"/>
      <c r="W46" s="51"/>
      <c r="X46" s="51"/>
      <c r="Y46" s="51"/>
      <c r="Z46" s="51"/>
      <c r="AA46" s="51"/>
      <c r="AB46" s="51"/>
      <c r="AC46" s="51"/>
      <c r="AD46" s="51"/>
      <c r="AF46" s="51"/>
      <c r="AG46" s="51"/>
      <c r="AH46" s="51"/>
      <c r="AI46" s="51"/>
      <c r="AJ46" s="51"/>
      <c r="AK46" s="51"/>
    </row>
    <row r="47" spans="1:37">
      <c r="P47" s="51"/>
      <c r="T47" s="51"/>
      <c r="U47" s="51"/>
      <c r="V47" s="51"/>
      <c r="W47" s="51"/>
      <c r="X47" s="51"/>
      <c r="Y47" s="51"/>
      <c r="Z47" s="51"/>
      <c r="AA47" s="51"/>
      <c r="AB47" s="51"/>
      <c r="AC47" s="51"/>
      <c r="AD47" s="51"/>
      <c r="AF47" s="51"/>
      <c r="AG47" s="51"/>
      <c r="AH47" s="51"/>
      <c r="AI47" s="51"/>
      <c r="AJ47" s="51"/>
      <c r="AK47" s="51"/>
    </row>
    <row r="48" spans="1:37">
      <c r="P48" s="51"/>
      <c r="T48" s="51"/>
      <c r="U48" s="51"/>
      <c r="V48" s="51"/>
      <c r="W48" s="51"/>
      <c r="X48" s="51"/>
      <c r="Y48" s="51"/>
      <c r="Z48" s="51"/>
      <c r="AA48" s="51"/>
      <c r="AB48" s="51"/>
      <c r="AC48" s="51"/>
      <c r="AD48" s="51"/>
    </row>
    <row r="49" spans="16:30">
      <c r="P49" s="51"/>
      <c r="T49" s="51"/>
      <c r="U49" s="51"/>
      <c r="V49" s="51"/>
      <c r="W49" s="51"/>
      <c r="X49" s="51"/>
      <c r="Y49" s="51"/>
      <c r="Z49" s="51"/>
      <c r="AA49" s="51"/>
      <c r="AB49" s="51"/>
      <c r="AC49" s="51"/>
      <c r="AD49" s="51"/>
    </row>
  </sheetData>
  <mergeCells count="64">
    <mergeCell ref="AG6:AG7"/>
    <mergeCell ref="AG25:AG26"/>
    <mergeCell ref="AF6:AF7"/>
    <mergeCell ref="AF25:AF26"/>
    <mergeCell ref="AE6:AE7"/>
    <mergeCell ref="AE25:AE26"/>
    <mergeCell ref="C25:C26"/>
    <mergeCell ref="D25:D26"/>
    <mergeCell ref="E25:E26"/>
    <mergeCell ref="U6:U7"/>
    <mergeCell ref="U25:U26"/>
    <mergeCell ref="P25:P26"/>
    <mergeCell ref="O25:O26"/>
    <mergeCell ref="N6:N7"/>
    <mergeCell ref="N25:N26"/>
    <mergeCell ref="T25:T26"/>
    <mergeCell ref="T6:T7"/>
    <mergeCell ref="S6:S7"/>
    <mergeCell ref="C6:C7"/>
    <mergeCell ref="D6:D7"/>
    <mergeCell ref="E6:E7"/>
    <mergeCell ref="I6:I7"/>
    <mergeCell ref="AH6:AH7"/>
    <mergeCell ref="AH25:AH26"/>
    <mergeCell ref="J6:J7"/>
    <mergeCell ref="V6:V7"/>
    <mergeCell ref="V25:V26"/>
    <mergeCell ref="K6:K7"/>
    <mergeCell ref="Q25:Q26"/>
    <mergeCell ref="O6:O7"/>
    <mergeCell ref="S25:S26"/>
    <mergeCell ref="R6:R7"/>
    <mergeCell ref="R25:R26"/>
    <mergeCell ref="P6:P7"/>
    <mergeCell ref="X6:X7"/>
    <mergeCell ref="AA6:AA7"/>
    <mergeCell ref="AA25:AA26"/>
    <mergeCell ref="X25:X26"/>
    <mergeCell ref="Y6:Y7"/>
    <mergeCell ref="Y25:Y26"/>
    <mergeCell ref="AB6:AB7"/>
    <mergeCell ref="AB25:AB26"/>
    <mergeCell ref="I25:I26"/>
    <mergeCell ref="L6:L7"/>
    <mergeCell ref="J25:J26"/>
    <mergeCell ref="K25:K26"/>
    <mergeCell ref="Z6:Z7"/>
    <mergeCell ref="Z25:Z26"/>
    <mergeCell ref="AK6:AK7"/>
    <mergeCell ref="AK25:AK26"/>
    <mergeCell ref="AJ6:AJ7"/>
    <mergeCell ref="AJ25:AJ26"/>
    <mergeCell ref="L25:L26"/>
    <mergeCell ref="M6:M7"/>
    <mergeCell ref="W25:W26"/>
    <mergeCell ref="W6:W7"/>
    <mergeCell ref="AI6:AI7"/>
    <mergeCell ref="AI25:AI26"/>
    <mergeCell ref="AD6:AD7"/>
    <mergeCell ref="AD25:AD26"/>
    <mergeCell ref="AC6:AC7"/>
    <mergeCell ref="AC25:AC26"/>
    <mergeCell ref="M25:M26"/>
    <mergeCell ref="Q6:Q7"/>
  </mergeCells>
  <pageMargins left="0.7" right="0.7" top="0.75" bottom="0.75" header="0.3" footer="0.3"/>
  <pageSetup orientation="portrait" r:id="rId1"/>
  <ignoredErrors>
    <ignoredError sqref="E28:E31 E33:E37" evalError="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theme="9" tint="0.79998168889431442"/>
  </sheetPr>
  <dimension ref="A4:AX31"/>
  <sheetViews>
    <sheetView topLeftCell="V1" zoomScale="95" zoomScaleNormal="95" workbookViewId="0">
      <selection activeCell="AR1" sqref="G1:AR1048576"/>
    </sheetView>
  </sheetViews>
  <sheetFormatPr defaultColWidth="11.453125" defaultRowHeight="13.5"/>
  <cols>
    <col min="1" max="1" width="30.36328125" style="1" customWidth="1"/>
    <col min="2" max="5" width="11.453125" style="1"/>
    <col min="6" max="6" width="11.453125" style="56"/>
    <col min="7" max="7" width="32.6328125" style="1" customWidth="1"/>
    <col min="8" max="43" width="11.453125" style="1" customWidth="1"/>
    <col min="44" max="16384" width="11.453125" style="1"/>
  </cols>
  <sheetData>
    <row r="4" spans="1:50" ht="23.5">
      <c r="A4" s="11" t="s">
        <v>0</v>
      </c>
      <c r="B4" s="12"/>
      <c r="C4" s="12"/>
      <c r="D4" s="12"/>
      <c r="G4" s="11" t="s">
        <v>0</v>
      </c>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row>
    <row r="6" spans="1:50">
      <c r="A6" s="100" t="s">
        <v>198</v>
      </c>
      <c r="B6" s="141" t="s">
        <v>73</v>
      </c>
      <c r="C6" s="141" t="s">
        <v>74</v>
      </c>
      <c r="D6" s="141" t="s">
        <v>75</v>
      </c>
      <c r="F6" s="56">
        <v>1</v>
      </c>
      <c r="G6" s="100" t="s">
        <v>198</v>
      </c>
      <c r="H6" s="141" t="s">
        <v>77</v>
      </c>
      <c r="I6" s="141" t="s">
        <v>78</v>
      </c>
      <c r="J6" s="141" t="s">
        <v>79</v>
      </c>
      <c r="K6" s="141" t="s">
        <v>80</v>
      </c>
      <c r="L6" s="141" t="s">
        <v>81</v>
      </c>
      <c r="M6" s="141" t="s">
        <v>82</v>
      </c>
      <c r="N6" s="141" t="s">
        <v>83</v>
      </c>
      <c r="O6" s="141" t="s">
        <v>84</v>
      </c>
      <c r="P6" s="141" t="s">
        <v>85</v>
      </c>
      <c r="Q6" s="141" t="s">
        <v>86</v>
      </c>
      <c r="R6" s="141" t="s">
        <v>87</v>
      </c>
      <c r="S6" s="141" t="s">
        <v>88</v>
      </c>
      <c r="T6" s="141" t="s">
        <v>89</v>
      </c>
      <c r="U6" s="141" t="s">
        <v>90</v>
      </c>
      <c r="V6" s="141" t="s">
        <v>91</v>
      </c>
      <c r="W6" s="141" t="s">
        <v>92</v>
      </c>
      <c r="X6" s="141" t="s">
        <v>93</v>
      </c>
      <c r="Y6" s="141" t="s">
        <v>94</v>
      </c>
      <c r="Z6" s="141" t="s">
        <v>95</v>
      </c>
      <c r="AA6" s="141" t="s">
        <v>96</v>
      </c>
      <c r="AB6" s="141" t="s">
        <v>97</v>
      </c>
      <c r="AC6" s="141" t="s">
        <v>98</v>
      </c>
      <c r="AD6" s="141" t="s">
        <v>99</v>
      </c>
      <c r="AE6" s="141" t="s">
        <v>100</v>
      </c>
      <c r="AF6" s="141" t="s">
        <v>101</v>
      </c>
      <c r="AG6" s="141" t="s">
        <v>102</v>
      </c>
      <c r="AH6" s="141" t="s">
        <v>103</v>
      </c>
      <c r="AI6" s="141" t="s">
        <v>104</v>
      </c>
      <c r="AJ6" s="141" t="s">
        <v>105</v>
      </c>
      <c r="AK6" s="141" t="s">
        <v>106</v>
      </c>
      <c r="AL6" s="141" t="s">
        <v>107</v>
      </c>
      <c r="AM6" s="141" t="s">
        <v>108</v>
      </c>
      <c r="AN6" s="141" t="s">
        <v>109</v>
      </c>
      <c r="AO6" s="141" t="s">
        <v>110</v>
      </c>
      <c r="AP6" s="141" t="s">
        <v>111</v>
      </c>
      <c r="AQ6" s="141" t="s">
        <v>112</v>
      </c>
      <c r="AR6" s="141" t="s">
        <v>73</v>
      </c>
      <c r="AS6" s="141" t="s">
        <v>113</v>
      </c>
      <c r="AT6" s="141" t="s">
        <v>114</v>
      </c>
      <c r="AU6" s="141" t="s">
        <v>115</v>
      </c>
      <c r="AV6" s="141" t="s">
        <v>74</v>
      </c>
    </row>
    <row r="7" spans="1:50">
      <c r="A7" s="100" t="s">
        <v>141</v>
      </c>
      <c r="B7" s="141"/>
      <c r="C7" s="141"/>
      <c r="D7" s="141"/>
      <c r="F7" s="56">
        <f>F6+1</f>
        <v>2</v>
      </c>
      <c r="G7" s="100" t="s">
        <v>141</v>
      </c>
      <c r="H7" s="141"/>
      <c r="I7" s="141"/>
      <c r="J7" s="141"/>
      <c r="K7" s="141"/>
      <c r="L7" s="141"/>
      <c r="M7" s="141"/>
      <c r="N7" s="141"/>
      <c r="O7" s="141"/>
      <c r="P7" s="141"/>
      <c r="Q7" s="141"/>
      <c r="R7" s="141"/>
      <c r="S7" s="141"/>
      <c r="T7" s="141"/>
      <c r="U7" s="141"/>
      <c r="V7" s="141"/>
      <c r="W7" s="141"/>
      <c r="X7" s="141"/>
      <c r="Y7" s="141"/>
      <c r="Z7" s="141"/>
      <c r="AA7" s="141"/>
      <c r="AB7" s="141"/>
      <c r="AC7" s="141"/>
      <c r="AD7" s="141"/>
      <c r="AE7" s="141"/>
      <c r="AF7" s="141"/>
      <c r="AG7" s="141"/>
      <c r="AH7" s="141"/>
      <c r="AI7" s="141"/>
      <c r="AJ7" s="141"/>
      <c r="AK7" s="141"/>
      <c r="AL7" s="141"/>
      <c r="AM7" s="141"/>
      <c r="AN7" s="141"/>
      <c r="AO7" s="141"/>
      <c r="AP7" s="141"/>
      <c r="AQ7" s="141"/>
      <c r="AR7" s="141"/>
      <c r="AS7" s="141"/>
      <c r="AT7" s="141"/>
      <c r="AU7" s="141"/>
      <c r="AV7" s="141"/>
    </row>
    <row r="8" spans="1:50">
      <c r="F8" s="56">
        <f t="shared" ref="F8:F13" si="0">F7+1</f>
        <v>3</v>
      </c>
    </row>
    <row r="9" spans="1:50">
      <c r="A9" s="5" t="s">
        <v>199</v>
      </c>
      <c r="B9" s="8">
        <f>HLOOKUP($B$6,$G$6:$BN$13,$F9,FALSE)</f>
        <v>1742.03594457299</v>
      </c>
      <c r="C9" s="8">
        <f>HLOOKUP($C$6,$G$6:$BN$13,$F9,FALSE)</f>
        <v>1759.25</v>
      </c>
      <c r="D9" s="44">
        <f>C9/B9-1</f>
        <v>9.8815730413814862E-3</v>
      </c>
      <c r="F9" s="56">
        <f t="shared" si="0"/>
        <v>4</v>
      </c>
      <c r="G9" s="5" t="s">
        <v>200</v>
      </c>
      <c r="H9" s="8">
        <v>1621.21</v>
      </c>
      <c r="I9" s="8">
        <v>1618.2439999999999</v>
      </c>
      <c r="J9" s="8">
        <v>2045.0509999999999</v>
      </c>
      <c r="K9" s="8">
        <v>1893.8910000000001</v>
      </c>
      <c r="L9" s="8">
        <v>1887.99</v>
      </c>
      <c r="M9" s="8">
        <v>1877</v>
      </c>
      <c r="N9" s="8">
        <v>1870.7026136500001</v>
      </c>
      <c r="O9" s="8">
        <v>1857.9439466699998</v>
      </c>
      <c r="P9" s="8">
        <v>1865.7826170000001</v>
      </c>
      <c r="Q9" s="8">
        <v>1626.8895758000001</v>
      </c>
      <c r="R9" s="8">
        <v>1361.9305067499999</v>
      </c>
      <c r="S9" s="8">
        <v>1347.14813589</v>
      </c>
      <c r="T9" s="8">
        <v>1342.6678752600001</v>
      </c>
      <c r="U9" s="8">
        <v>1341.22899979</v>
      </c>
      <c r="V9" s="8">
        <v>1344.95474584</v>
      </c>
      <c r="W9" s="8">
        <v>1305.42787344</v>
      </c>
      <c r="X9" s="8">
        <v>1318.1200414800001</v>
      </c>
      <c r="Y9" s="8">
        <v>1280.81690873</v>
      </c>
      <c r="Z9" s="8">
        <v>1287.7160888599999</v>
      </c>
      <c r="AA9" s="8">
        <f>1603.2633381-AA23</f>
        <v>1254.1770553000001</v>
      </c>
      <c r="AB9" s="8">
        <f>1612.00621806-AB23</f>
        <v>1272.0972800500001</v>
      </c>
      <c r="AC9" s="8">
        <v>1255.6366147000001</v>
      </c>
      <c r="AD9" s="8">
        <f>1701.04231517-AD23</f>
        <v>1243.88248436</v>
      </c>
      <c r="AE9" s="8">
        <v>1219.4010661599998</v>
      </c>
      <c r="AF9" s="8">
        <f>1814.75025218-AF23</f>
        <v>1347.5749549699999</v>
      </c>
      <c r="AG9" s="8">
        <f>1806.42016527-AG23</f>
        <v>1334.0859096400002</v>
      </c>
      <c r="AH9" s="8">
        <f>1796.72138678-AH23</f>
        <v>1338.1752458300002</v>
      </c>
      <c r="AI9" s="8">
        <f>1796.2731062684-AI23</f>
        <v>1336.7224258783999</v>
      </c>
      <c r="AJ9" s="8">
        <f>1781.18954300951-AJ23</f>
        <v>1337.78954300951</v>
      </c>
      <c r="AK9" s="8">
        <f>1765.65650261125-AK23</f>
        <v>1320.7565026112502</v>
      </c>
      <c r="AL9" s="8">
        <f>1750.75484374691-AL23</f>
        <v>1322.4888233469101</v>
      </c>
      <c r="AM9" s="8">
        <f>2310.45229578-AM23</f>
        <v>1880.8751022199999</v>
      </c>
      <c r="AN9" s="8">
        <f>+'[2]01.BALANCE'!$R$3+'[2]01.BALANCE'!$R$11</f>
        <v>1717.8100000000002</v>
      </c>
      <c r="AO9" s="8">
        <v>1726.8473695093601</v>
      </c>
      <c r="AP9" s="8">
        <v>1717.45</v>
      </c>
      <c r="AQ9" s="8">
        <v>1742.59</v>
      </c>
      <c r="AR9" s="8">
        <f>2118.72699638299-AR23</f>
        <v>1742.03594457299</v>
      </c>
      <c r="AS9" s="8">
        <f>1725.24+22.19</f>
        <v>1747.43</v>
      </c>
      <c r="AT9" s="8">
        <v>1749.79</v>
      </c>
      <c r="AU9" s="8">
        <v>1763.6100000000001</v>
      </c>
      <c r="AV9" s="8">
        <v>1759.25</v>
      </c>
      <c r="AW9" s="125"/>
      <c r="AX9" s="46"/>
    </row>
    <row r="10" spans="1:50">
      <c r="A10" s="5" t="s">
        <v>201</v>
      </c>
      <c r="B10" s="8">
        <f>HLOOKUP($B$6,$G$6:$BN$13,$F10,FALSE)</f>
        <v>1022.5991758824366</v>
      </c>
      <c r="C10" s="8">
        <f>HLOOKUP($C$6,$G$6:$BN$13,$F10,FALSE)</f>
        <v>951.24644999999998</v>
      </c>
      <c r="D10" s="44">
        <f t="shared" ref="D10:D13" si="1">C10/B10-1</f>
        <v>-6.9775849194151585E-2</v>
      </c>
      <c r="F10" s="56">
        <f t="shared" si="0"/>
        <v>5</v>
      </c>
      <c r="G10" s="5" t="s">
        <v>201</v>
      </c>
      <c r="H10" s="8">
        <v>208.3</v>
      </c>
      <c r="I10" s="8">
        <v>337.4</v>
      </c>
      <c r="J10" s="8">
        <v>878.3</v>
      </c>
      <c r="K10" s="8">
        <v>832.76</v>
      </c>
      <c r="L10" s="8">
        <v>816.7</v>
      </c>
      <c r="M10" s="8">
        <v>912.5</v>
      </c>
      <c r="N10" s="8">
        <v>1090.5720669099999</v>
      </c>
      <c r="O10" s="8">
        <v>1058.0028371999999</v>
      </c>
      <c r="P10" s="8">
        <v>1041.9427924399999</v>
      </c>
      <c r="Q10" s="8">
        <v>821.89592786000003</v>
      </c>
      <c r="R10" s="8">
        <v>577.45237951000001</v>
      </c>
      <c r="S10" s="8">
        <v>644.96538209000005</v>
      </c>
      <c r="T10" s="8">
        <v>625.20350478</v>
      </c>
      <c r="U10" s="8">
        <v>642.64908048999996</v>
      </c>
      <c r="V10" s="8">
        <v>732.58318152000004</v>
      </c>
      <c r="W10" s="8">
        <v>757.34681765000005</v>
      </c>
      <c r="X10" s="8">
        <v>840.18244562999996</v>
      </c>
      <c r="Y10" s="8">
        <v>643.19314947999999</v>
      </c>
      <c r="Z10" s="8">
        <v>738.20035213999995</v>
      </c>
      <c r="AA10" s="8">
        <f>788.08749668-AA24</f>
        <v>764.38389112999994</v>
      </c>
      <c r="AB10" s="8">
        <f>815.72624595-AB24</f>
        <v>802.70145593000007</v>
      </c>
      <c r="AC10" s="8">
        <v>649.83319934000008</v>
      </c>
      <c r="AD10" s="8">
        <f>780.16379925-AD24</f>
        <v>766.81319765000001</v>
      </c>
      <c r="AE10" s="8">
        <v>773.54807795999977</v>
      </c>
      <c r="AF10" s="8">
        <f>979.68716846-AF24</f>
        <v>951.01231157999996</v>
      </c>
      <c r="AG10" s="8">
        <f>854.02097505-AG24</f>
        <v>813.01434632999997</v>
      </c>
      <c r="AH10" s="8">
        <f>965.89374418-AH24</f>
        <v>938.50500040999998</v>
      </c>
      <c r="AI10" s="8">
        <f>967.40052647-AI24</f>
        <v>938.55964359000006</v>
      </c>
      <c r="AJ10" s="8">
        <f>1027.83522607416-AJ24</f>
        <v>1005.9915344041599</v>
      </c>
      <c r="AK10" s="8">
        <f>789.998535169543-AK24</f>
        <v>756.893476639543</v>
      </c>
      <c r="AL10" s="8">
        <f>1886.10239526024-AL24</f>
        <v>1864.8212293125612</v>
      </c>
      <c r="AM10" s="8">
        <f>1419.22163411-AM24</f>
        <v>1391.35302142</v>
      </c>
      <c r="AN10" s="8">
        <f>+'[2]01.BALANCE'!$O$3</f>
        <v>1175.0899999999999</v>
      </c>
      <c r="AO10" s="8">
        <v>950.66543734941501</v>
      </c>
      <c r="AP10" s="8">
        <v>1150.7</v>
      </c>
      <c r="AQ10" s="8">
        <v>1104.6600000000001</v>
      </c>
      <c r="AR10" s="8">
        <f>1061.85538023994-AR24</f>
        <v>1022.5991758824366</v>
      </c>
      <c r="AS10" s="8">
        <v>919.78346999999997</v>
      </c>
      <c r="AT10" s="8">
        <v>1130.56808</v>
      </c>
      <c r="AU10" s="8">
        <v>985.22022000000004</v>
      </c>
      <c r="AV10" s="8">
        <v>951.24644999999998</v>
      </c>
      <c r="AW10" s="125"/>
      <c r="AX10" s="46"/>
    </row>
    <row r="11" spans="1:50">
      <c r="A11" s="5" t="s">
        <v>202</v>
      </c>
      <c r="B11" s="8">
        <f>HLOOKUP($B$6,$G$6:$BN$13,$F11,FALSE)</f>
        <v>719.43676869055332</v>
      </c>
      <c r="C11" s="8">
        <f>HLOOKUP($C$6,$G$6:$BN$13,$F11,FALSE)</f>
        <v>808.00355000000002</v>
      </c>
      <c r="D11" s="44">
        <f t="shared" si="1"/>
        <v>0.12310571986840069</v>
      </c>
      <c r="F11" s="56">
        <f t="shared" si="0"/>
        <v>6</v>
      </c>
      <c r="G11" s="5" t="s">
        <v>202</v>
      </c>
      <c r="H11" s="8">
        <f>H9-H10</f>
        <v>1412.91</v>
      </c>
      <c r="I11" s="8">
        <f t="shared" ref="I11:P11" si="2">I9-I10</f>
        <v>1280.8440000000001</v>
      </c>
      <c r="J11" s="8">
        <f t="shared" si="2"/>
        <v>1166.751</v>
      </c>
      <c r="K11" s="8">
        <f t="shared" si="2"/>
        <v>1061.1310000000001</v>
      </c>
      <c r="L11" s="8">
        <f t="shared" si="2"/>
        <v>1071.29</v>
      </c>
      <c r="M11" s="8">
        <f t="shared" si="2"/>
        <v>964.5</v>
      </c>
      <c r="N11" s="8">
        <f t="shared" si="2"/>
        <v>780.13054674000023</v>
      </c>
      <c r="O11" s="8">
        <f t="shared" si="2"/>
        <v>799.9411094699999</v>
      </c>
      <c r="P11" s="8">
        <f t="shared" si="2"/>
        <v>823.83982456000012</v>
      </c>
      <c r="Q11" s="8">
        <f t="shared" ref="Q11" si="3">Q9-Q10</f>
        <v>804.99364794000007</v>
      </c>
      <c r="R11" s="8">
        <f t="shared" ref="R11" si="4">R9-R10</f>
        <v>784.47812723999994</v>
      </c>
      <c r="S11" s="8">
        <f t="shared" ref="S11" si="5">S9-S10</f>
        <v>702.1827538</v>
      </c>
      <c r="T11" s="8">
        <f t="shared" ref="T11" si="6">T9-T10</f>
        <v>717.46437048000007</v>
      </c>
      <c r="U11" s="8">
        <f t="shared" ref="U11" si="7">U9-U10</f>
        <v>698.57991930000003</v>
      </c>
      <c r="V11" s="8">
        <f t="shared" ref="V11:X11" si="8">V9-V10</f>
        <v>612.37156431999995</v>
      </c>
      <c r="W11" s="8">
        <f t="shared" si="8"/>
        <v>548.08105578999994</v>
      </c>
      <c r="X11" s="8">
        <f t="shared" si="8"/>
        <v>477.93759585000009</v>
      </c>
      <c r="Y11" s="8">
        <f t="shared" ref="Y11:Z11" si="9">Y9-Y10</f>
        <v>637.62375925000003</v>
      </c>
      <c r="Z11" s="8">
        <f t="shared" si="9"/>
        <v>549.51573671999995</v>
      </c>
      <c r="AA11" s="8">
        <f>+AA9-AA10</f>
        <v>489.79316417000018</v>
      </c>
      <c r="AB11" s="8">
        <f>796.27997211-AB25</f>
        <v>469.3958241200001</v>
      </c>
      <c r="AC11" s="8">
        <v>605.80341536000014</v>
      </c>
      <c r="AD11" s="8">
        <f t="shared" ref="AD11:AH11" si="10">+AD9-AD10</f>
        <v>477.06928671000003</v>
      </c>
      <c r="AE11" s="8">
        <f t="shared" si="10"/>
        <v>445.85298820000003</v>
      </c>
      <c r="AF11" s="8">
        <f t="shared" si="10"/>
        <v>396.56264338999995</v>
      </c>
      <c r="AG11" s="8">
        <f t="shared" si="10"/>
        <v>521.07156331000022</v>
      </c>
      <c r="AH11" s="8">
        <f t="shared" si="10"/>
        <v>399.67024542000024</v>
      </c>
      <c r="AI11" s="8">
        <f>+AI9-AI10</f>
        <v>398.16278228839985</v>
      </c>
      <c r="AJ11" s="8">
        <f>+AJ9-AJ10</f>
        <v>331.79800860535011</v>
      </c>
      <c r="AK11" s="8">
        <f>975.657967441702-AK25</f>
        <v>563.86302597170197</v>
      </c>
      <c r="AL11" s="8">
        <f t="shared" ref="AL11:AQ11" si="11">+AL9-AL10</f>
        <v>-542.33240596565111</v>
      </c>
      <c r="AM11" s="8">
        <f t="shared" si="11"/>
        <v>489.52208079999991</v>
      </c>
      <c r="AN11" s="8">
        <f t="shared" si="11"/>
        <v>542.72000000000025</v>
      </c>
      <c r="AO11" s="8">
        <f t="shared" si="11"/>
        <v>776.18193215994506</v>
      </c>
      <c r="AP11" s="8">
        <f t="shared" si="11"/>
        <v>566.75</v>
      </c>
      <c r="AQ11" s="8">
        <f t="shared" si="11"/>
        <v>637.92999999999984</v>
      </c>
      <c r="AR11" s="8">
        <f>1056.87161614305-AR25</f>
        <v>719.43676869055332</v>
      </c>
      <c r="AS11" s="8">
        <f>+AS9-AS10</f>
        <v>827.6465300000001</v>
      </c>
      <c r="AT11" s="8">
        <f>+AT9-AT10</f>
        <v>619.22191999999995</v>
      </c>
      <c r="AU11" s="8">
        <f>+AU9-AU10</f>
        <v>778.38978000000009</v>
      </c>
      <c r="AV11" s="8">
        <f>+AV9-AV10</f>
        <v>808.00355000000002</v>
      </c>
      <c r="AW11" s="125"/>
      <c r="AX11" s="46"/>
    </row>
    <row r="12" spans="1:50">
      <c r="A12" s="5" t="s">
        <v>203</v>
      </c>
      <c r="B12" s="8">
        <f>HLOOKUP($B$6,$G$6:$BN$13,$F12,FALSE)</f>
        <v>704.69264881712991</v>
      </c>
      <c r="C12" s="8">
        <f>HLOOKUP($C$6,$G$6:$BN$13,$F12,FALSE)</f>
        <v>577.98573336675554</v>
      </c>
      <c r="D12" s="44">
        <f t="shared" si="1"/>
        <v>-0.17980450862238984</v>
      </c>
      <c r="F12" s="56">
        <f t="shared" si="0"/>
        <v>7</v>
      </c>
      <c r="G12" s="5" t="s">
        <v>203</v>
      </c>
      <c r="H12" s="8">
        <v>382.92145630999988</v>
      </c>
      <c r="I12" s="8">
        <v>393.30915419999997</v>
      </c>
      <c r="J12" s="8">
        <v>484.35407574999999</v>
      </c>
      <c r="K12" s="8">
        <f>SUM('Operating Income'!I33:L33)</f>
        <v>536.55660998999997</v>
      </c>
      <c r="L12" s="8">
        <f>SUM('Operating Income'!J33:M33)</f>
        <v>509.58181343000001</v>
      </c>
      <c r="M12" s="8">
        <f>SUM('Operating Income'!K33:N33)</f>
        <v>505.11810049000002</v>
      </c>
      <c r="N12" s="8">
        <f>SUM('Operating Income'!L33:O33)</f>
        <v>569.03689686999996</v>
      </c>
      <c r="O12" s="8">
        <f>SUM('Operating Income'!M33:P33)</f>
        <v>582.13436263000006</v>
      </c>
      <c r="P12" s="8">
        <f>SUM('Operating Income'!N33:Q33)</f>
        <v>642.86230607999994</v>
      </c>
      <c r="Q12" s="8">
        <f>SUM('Operating Income'!O33:R33)</f>
        <v>648.4863515699999</v>
      </c>
      <c r="R12" s="8">
        <f>SUM('Operating Income'!P33:S33)</f>
        <v>574.0483696199999</v>
      </c>
      <c r="S12" s="8">
        <f>SUM('Operating Income'!Q33:T33)</f>
        <v>545.71205114999987</v>
      </c>
      <c r="T12" s="8">
        <f>SUM('Operating Income'!R33:U33)</f>
        <v>535.59390827999982</v>
      </c>
      <c r="U12" s="8">
        <f>SUM('Operating Income'!S33:V33)</f>
        <v>541.16867648999994</v>
      </c>
      <c r="V12" s="8">
        <f>SUM('Operating Income'!T33:W33)</f>
        <v>595.27126139999996</v>
      </c>
      <c r="W12" s="8">
        <f>SUM('Operating Income'!U33:X33)</f>
        <v>638.54421912999999</v>
      </c>
      <c r="X12" s="8">
        <f>SUM('Operating Income'!V33:Y33)</f>
        <v>648.81246179000004</v>
      </c>
      <c r="Y12" s="8">
        <f>SUM('Operating Income'!W33:Z33)</f>
        <v>642.92675406000012</v>
      </c>
      <c r="Z12" s="8">
        <f>SUM('Operating Income'!X33:AA33)</f>
        <v>631.35391621000019</v>
      </c>
      <c r="AA12" s="8">
        <f>SUM('Operating Income'!Y33:AB33)</f>
        <v>647.7782706600002</v>
      </c>
      <c r="AB12" s="8">
        <f>SUM('Operating Income'!Z33:AC33)</f>
        <v>643.02155693000009</v>
      </c>
      <c r="AC12" s="8">
        <f>SUM('Operating Income'!AA33:AD33)</f>
        <v>656.63837824000018</v>
      </c>
      <c r="AD12" s="8">
        <f>SUM('Operating Income'!AB33:AE33)</f>
        <v>670.39056757000014</v>
      </c>
      <c r="AE12" s="8">
        <f>SUM('Operating Income'!AC33:AF33)</f>
        <v>630.87492585131372</v>
      </c>
      <c r="AF12" s="8">
        <f>SUM('Operating Income'!AD33:AG33)</f>
        <v>634.74103105131371</v>
      </c>
      <c r="AG12" s="8">
        <f>SUM('Operating Income'!AE33:AH33)</f>
        <v>621.18250273131366</v>
      </c>
      <c r="AH12" s="8">
        <f>SUM('Operating Income'!AF33:AI33)</f>
        <v>617.77807009131357</v>
      </c>
      <c r="AI12" s="8">
        <f>682.539488147868-AI26</f>
        <v>617.42694116786799</v>
      </c>
      <c r="AJ12" s="8">
        <f>+SUM('Operating Income'!AH33:AK33)</f>
        <v>585.1565443502941</v>
      </c>
      <c r="AK12" s="8">
        <f>639.022682110036-AK26</f>
        <v>575.70420253003601</v>
      </c>
      <c r="AL12" s="8">
        <f>535.871740508092-AL26</f>
        <v>468.346890108092</v>
      </c>
      <c r="AM12" s="8">
        <f>520.197108828493-AM26</f>
        <v>450.66937666849299</v>
      </c>
      <c r="AN12" s="8">
        <f>+SUM('Operating Income'!AL33:AO33)</f>
        <v>433.74481597914689</v>
      </c>
      <c r="AO12" s="8">
        <v>449.76646769813902</v>
      </c>
      <c r="AP12" s="8">
        <v>578.13762387883901</v>
      </c>
      <c r="AQ12" s="8">
        <v>657.96531996665976</v>
      </c>
      <c r="AR12" s="8">
        <f>809.93848731713-AR26</f>
        <v>704.69264881712991</v>
      </c>
      <c r="AS12" s="8">
        <f>+SUM('Operating Income'!AQ33:AT33)</f>
        <v>707.60881321912564</v>
      </c>
      <c r="AT12" s="8">
        <f>+SUM('Operating Income'!AR33:AU33)</f>
        <v>704.43017665886168</v>
      </c>
      <c r="AU12" s="8">
        <f>SUM('Operating Income'!AS33:AV33)</f>
        <v>615.3996335079039</v>
      </c>
      <c r="AV12" s="8">
        <f>SUM('Operating Income'!AT33:AW33)</f>
        <v>577.98573336675554</v>
      </c>
      <c r="AW12" s="125"/>
      <c r="AX12" s="46"/>
    </row>
    <row r="13" spans="1:50">
      <c r="A13" s="5" t="s">
        <v>204</v>
      </c>
      <c r="B13" s="8">
        <f>HLOOKUP($B$6,$G$6:$BN$13,$F13,FALSE)</f>
        <v>1.3048788675839702</v>
      </c>
      <c r="C13" s="8">
        <f>HLOOKUP($C$6,$G$6:$BN$13,$F13,FALSE)</f>
        <v>1.3979645229189226</v>
      </c>
      <c r="D13" s="44">
        <f t="shared" si="1"/>
        <v>7.1336625680285426E-2</v>
      </c>
      <c r="F13" s="56">
        <f t="shared" si="0"/>
        <v>8</v>
      </c>
      <c r="G13" s="5" t="s">
        <v>204</v>
      </c>
      <c r="H13" s="8">
        <f>H11/H12</f>
        <v>3.6898167410503038</v>
      </c>
      <c r="I13" s="8">
        <f t="shared" ref="I13:V13" si="12">I11/I12</f>
        <v>3.2565832407467523</v>
      </c>
      <c r="J13" s="8">
        <f t="shared" si="12"/>
        <v>2.408880317964373</v>
      </c>
      <c r="K13" s="8">
        <f t="shared" si="12"/>
        <v>1.9776683023619388</v>
      </c>
      <c r="L13" s="8">
        <f t="shared" si="12"/>
        <v>2.1022924519011714</v>
      </c>
      <c r="M13" s="8">
        <f t="shared" si="12"/>
        <v>1.9094544405840284</v>
      </c>
      <c r="N13" s="8">
        <f t="shared" si="12"/>
        <v>1.3709665419432826</v>
      </c>
      <c r="O13" s="8">
        <f t="shared" si="12"/>
        <v>1.37415201854084</v>
      </c>
      <c r="P13" s="8">
        <f t="shared" si="12"/>
        <v>1.2815183232371361</v>
      </c>
      <c r="Q13" s="8">
        <f t="shared" si="12"/>
        <v>1.2413424677190084</v>
      </c>
      <c r="R13" s="8">
        <f t="shared" si="12"/>
        <v>1.3665714750819644</v>
      </c>
      <c r="S13" s="8">
        <f t="shared" si="12"/>
        <v>1.2867275925467716</v>
      </c>
      <c r="T13" s="8">
        <f t="shared" si="12"/>
        <v>1.339567831874819</v>
      </c>
      <c r="U13" s="8">
        <f t="shared" si="12"/>
        <v>1.2908727900346406</v>
      </c>
      <c r="V13" s="8">
        <f t="shared" si="12"/>
        <v>1.0287269082666317</v>
      </c>
      <c r="W13" s="8">
        <f t="shared" ref="W13:X13" si="13">W11/W12</f>
        <v>0.85832905438678342</v>
      </c>
      <c r="X13" s="8">
        <f t="shared" si="13"/>
        <v>0.73663442673623203</v>
      </c>
      <c r="Y13" s="8">
        <f t="shared" ref="Y13:Z13" si="14">Y11/Y12</f>
        <v>0.99175179011215142</v>
      </c>
      <c r="Z13" s="8">
        <f t="shared" si="14"/>
        <v>0.87037669777789206</v>
      </c>
      <c r="AA13" s="8">
        <f t="shared" ref="AA13:AF13" si="15">+AA11/AA12</f>
        <v>0.75611237109106155</v>
      </c>
      <c r="AB13" s="8">
        <f t="shared" si="15"/>
        <v>0.72998458459317084</v>
      </c>
      <c r="AC13" s="8">
        <f t="shared" si="15"/>
        <v>0.92258301591165914</v>
      </c>
      <c r="AD13" s="8">
        <f t="shared" si="15"/>
        <v>0.71162887693849586</v>
      </c>
      <c r="AE13" s="8">
        <f t="shared" si="15"/>
        <v>0.70672168116106082</v>
      </c>
      <c r="AF13" s="8">
        <f t="shared" si="15"/>
        <v>0.62476289382644468</v>
      </c>
      <c r="AG13" s="8">
        <v>0.62856171092891566</v>
      </c>
      <c r="AH13" s="8">
        <f t="shared" ref="AH13" si="16">+AH11/AH12</f>
        <v>0.6469479328732487</v>
      </c>
      <c r="AI13" s="8">
        <f>+AI11/AI12</f>
        <v>0.64487432559271185</v>
      </c>
      <c r="AJ13" s="8">
        <f>+AJ11/AJ12</f>
        <v>0.56702434896929876</v>
      </c>
      <c r="AK13" s="8">
        <f>+AK11/AK12</f>
        <v>0.97943183929126132</v>
      </c>
      <c r="AL13" s="8" t="s">
        <v>132</v>
      </c>
      <c r="AM13" s="8">
        <f>+AM11/AM12</f>
        <v>1.0862111031788311</v>
      </c>
      <c r="AN13" s="8">
        <f>+AN11/AN12</f>
        <v>1.2512426200987554</v>
      </c>
      <c r="AO13" s="8">
        <f>+AO11/AO12</f>
        <v>1.7257443315691554</v>
      </c>
      <c r="AP13" s="8">
        <f>+AP11/AP12</f>
        <v>0.98030291852926432</v>
      </c>
      <c r="AQ13" s="8">
        <f>+AQ11/AQ12</f>
        <v>0.96954958056501339</v>
      </c>
      <c r="AR13" s="8">
        <v>1.3048788675839702</v>
      </c>
      <c r="AS13" s="8">
        <f>+AS11/AS12</f>
        <v>1.1696385270200165</v>
      </c>
      <c r="AT13" s="8">
        <f>+AT11/AT12</f>
        <v>0.87903945702183339</v>
      </c>
      <c r="AU13" s="8">
        <f>+AU11/AU12</f>
        <v>1.2648525244693745</v>
      </c>
      <c r="AV13" s="8">
        <f>+AV11/AV12</f>
        <v>1.3979645229189226</v>
      </c>
      <c r="AW13" s="125"/>
      <c r="AX13" s="46"/>
    </row>
    <row r="14" spans="1:50">
      <c r="B14" s="51"/>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row>
    <row r="15" spans="1:50">
      <c r="B15" s="51"/>
      <c r="C15" s="51"/>
    </row>
    <row r="16" spans="1:50">
      <c r="D16" s="51"/>
    </row>
    <row r="17" spans="1:50">
      <c r="AW17" s="51"/>
    </row>
    <row r="18" spans="1:50" ht="23.5">
      <c r="A18" s="11" t="s">
        <v>37</v>
      </c>
      <c r="B18" s="12"/>
      <c r="C18" s="12"/>
      <c r="D18" s="12"/>
      <c r="G18" s="11" t="s">
        <v>37</v>
      </c>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51"/>
    </row>
    <row r="19" spans="1:50">
      <c r="AW19" s="51"/>
      <c r="AX19" s="52"/>
    </row>
    <row r="20" spans="1:50">
      <c r="A20" s="100" t="s">
        <v>198</v>
      </c>
      <c r="B20" s="141" t="str">
        <f>B6</f>
        <v>1Q23</v>
      </c>
      <c r="C20" s="141" t="str">
        <f>C6</f>
        <v>1Q24</v>
      </c>
      <c r="D20" s="141" t="s">
        <v>75</v>
      </c>
      <c r="F20" s="56">
        <v>1</v>
      </c>
      <c r="G20" s="100" t="s">
        <v>198</v>
      </c>
      <c r="H20" s="141" t="s">
        <v>77</v>
      </c>
      <c r="I20" s="141" t="s">
        <v>78</v>
      </c>
      <c r="J20" s="141" t="s">
        <v>79</v>
      </c>
      <c r="K20" s="141" t="s">
        <v>80</v>
      </c>
      <c r="L20" s="141" t="s">
        <v>81</v>
      </c>
      <c r="M20" s="141" t="s">
        <v>82</v>
      </c>
      <c r="N20" s="141" t="s">
        <v>83</v>
      </c>
      <c r="O20" s="141" t="s">
        <v>84</v>
      </c>
      <c r="P20" s="141" t="s">
        <v>85</v>
      </c>
      <c r="Q20" s="141" t="s">
        <v>86</v>
      </c>
      <c r="R20" s="141" t="s">
        <v>87</v>
      </c>
      <c r="S20" s="141" t="s">
        <v>88</v>
      </c>
      <c r="T20" s="141" t="s">
        <v>89</v>
      </c>
      <c r="U20" s="141" t="s">
        <v>90</v>
      </c>
      <c r="V20" s="141" t="s">
        <v>91</v>
      </c>
      <c r="W20" s="141" t="s">
        <v>92</v>
      </c>
      <c r="X20" s="141" t="s">
        <v>93</v>
      </c>
      <c r="Y20" s="141" t="s">
        <v>94</v>
      </c>
      <c r="Z20" s="141" t="s">
        <v>95</v>
      </c>
      <c r="AA20" s="141" t="s">
        <v>96</v>
      </c>
      <c r="AB20" s="141" t="s">
        <v>97</v>
      </c>
      <c r="AC20" s="141" t="s">
        <v>98</v>
      </c>
      <c r="AD20" s="141" t="s">
        <v>99</v>
      </c>
      <c r="AE20" s="141" t="s">
        <v>100</v>
      </c>
      <c r="AF20" s="141" t="s">
        <v>101</v>
      </c>
      <c r="AG20" s="141" t="s">
        <v>102</v>
      </c>
      <c r="AH20" s="141" t="s">
        <v>103</v>
      </c>
      <c r="AI20" s="141" t="s">
        <v>104</v>
      </c>
      <c r="AJ20" s="141" t="s">
        <v>105</v>
      </c>
      <c r="AK20" s="141" t="s">
        <v>106</v>
      </c>
      <c r="AL20" s="141" t="s">
        <v>107</v>
      </c>
      <c r="AM20" s="141" t="s">
        <v>108</v>
      </c>
      <c r="AN20" s="141" t="s">
        <v>109</v>
      </c>
      <c r="AO20" s="141" t="s">
        <v>110</v>
      </c>
      <c r="AP20" s="141" t="s">
        <v>111</v>
      </c>
      <c r="AQ20" s="141" t="s">
        <v>112</v>
      </c>
      <c r="AR20" s="141" t="s">
        <v>73</v>
      </c>
      <c r="AS20" s="141" t="s">
        <v>113</v>
      </c>
      <c r="AT20" s="141" t="s">
        <v>114</v>
      </c>
      <c r="AU20" s="141" t="s">
        <v>115</v>
      </c>
      <c r="AV20" s="141" t="s">
        <v>74</v>
      </c>
      <c r="AW20" s="51"/>
      <c r="AX20" s="51"/>
    </row>
    <row r="21" spans="1:50">
      <c r="A21" s="100" t="s">
        <v>141</v>
      </c>
      <c r="B21" s="141"/>
      <c r="C21" s="141"/>
      <c r="D21" s="141"/>
      <c r="F21" s="56">
        <f>F20+1</f>
        <v>2</v>
      </c>
      <c r="G21" s="100" t="s">
        <v>141</v>
      </c>
      <c r="H21" s="141"/>
      <c r="I21" s="141"/>
      <c r="J21" s="141"/>
      <c r="K21" s="141"/>
      <c r="L21" s="141"/>
      <c r="M21" s="141"/>
      <c r="N21" s="141"/>
      <c r="O21" s="141"/>
      <c r="P21" s="141"/>
      <c r="Q21" s="141"/>
      <c r="R21" s="141"/>
      <c r="S21" s="141"/>
      <c r="T21" s="141"/>
      <c r="U21" s="141"/>
      <c r="V21" s="141"/>
      <c r="W21" s="141"/>
      <c r="X21" s="141"/>
      <c r="Y21" s="141"/>
      <c r="Z21" s="141"/>
      <c r="AA21" s="141"/>
      <c r="AB21" s="141"/>
      <c r="AC21" s="141"/>
      <c r="AD21" s="141"/>
      <c r="AE21" s="141"/>
      <c r="AF21" s="141"/>
      <c r="AG21" s="141"/>
      <c r="AH21" s="141"/>
      <c r="AI21" s="141"/>
      <c r="AJ21" s="141"/>
      <c r="AK21" s="141"/>
      <c r="AL21" s="141"/>
      <c r="AM21" s="141"/>
      <c r="AN21" s="141"/>
      <c r="AO21" s="141"/>
      <c r="AP21" s="141"/>
      <c r="AQ21" s="141"/>
      <c r="AR21" s="141"/>
      <c r="AS21" s="141"/>
      <c r="AT21" s="141"/>
      <c r="AU21" s="141"/>
      <c r="AV21" s="141"/>
      <c r="AW21" s="51"/>
      <c r="AX21" s="52"/>
    </row>
    <row r="22" spans="1:50">
      <c r="F22" s="56">
        <f t="shared" ref="F22:F27" si="17">F21+1</f>
        <v>3</v>
      </c>
      <c r="AW22" s="51"/>
    </row>
    <row r="23" spans="1:50">
      <c r="A23" s="5" t="s">
        <v>199</v>
      </c>
      <c r="B23" s="8">
        <f>HLOOKUP($B$20,$G$20:$BO$27,$F23,FALSE)</f>
        <v>376.69105180999998</v>
      </c>
      <c r="C23" s="8">
        <f>HLOOKUP($C$20,$G$20:$BO$27,$F23,FALSE)</f>
        <v>342.54136075999998</v>
      </c>
      <c r="D23" s="44">
        <f>C23/B23-1</f>
        <v>-9.0657027518733946E-2</v>
      </c>
      <c r="F23" s="56">
        <f t="shared" si="17"/>
        <v>4</v>
      </c>
      <c r="G23" s="5" t="s">
        <v>200</v>
      </c>
      <c r="H23" s="33"/>
      <c r="I23" s="33"/>
      <c r="J23" s="33"/>
      <c r="K23" s="33"/>
      <c r="L23" s="33"/>
      <c r="M23" s="33"/>
      <c r="N23" s="33"/>
      <c r="O23" s="33"/>
      <c r="P23" s="8">
        <v>378.24112093999997</v>
      </c>
      <c r="Q23" s="8">
        <v>383.03361709000001</v>
      </c>
      <c r="R23" s="8">
        <v>378.53295608000002</v>
      </c>
      <c r="S23" s="8">
        <v>362.88383331</v>
      </c>
      <c r="T23" s="8">
        <v>360.77624745000003</v>
      </c>
      <c r="U23" s="8">
        <v>361.36130248000001</v>
      </c>
      <c r="V23" s="8">
        <v>350.57789079999998</v>
      </c>
      <c r="W23" s="8">
        <v>354.02454993999999</v>
      </c>
      <c r="X23" s="8">
        <v>350.32716904</v>
      </c>
      <c r="Y23" s="8">
        <v>354.05027138999998</v>
      </c>
      <c r="Z23" s="8">
        <v>345.42533279000003</v>
      </c>
      <c r="AA23" s="8">
        <v>349.08628279999994</v>
      </c>
      <c r="AB23" s="8">
        <v>339.90893800999993</v>
      </c>
      <c r="AC23" s="8">
        <v>468.84071018999998</v>
      </c>
      <c r="AD23" s="8">
        <v>457.15983081000002</v>
      </c>
      <c r="AE23" s="8">
        <v>459.26191867999995</v>
      </c>
      <c r="AF23" s="8">
        <v>467.17529721000005</v>
      </c>
      <c r="AG23" s="8">
        <v>472.33425562999997</v>
      </c>
      <c r="AH23" s="8">
        <v>458.54614094999999</v>
      </c>
      <c r="AI23" s="8">
        <f>+'[3]Carp Dir'!$I$4+'[3]Carp Dir'!$I$12</f>
        <v>459.55068038999997</v>
      </c>
      <c r="AJ23" s="8">
        <v>443.4</v>
      </c>
      <c r="AK23" s="8">
        <v>444.9</v>
      </c>
      <c r="AL23" s="8">
        <v>428.2660204</v>
      </c>
      <c r="AM23" s="8">
        <v>429.57719356000001</v>
      </c>
      <c r="AN23" s="8">
        <f>+'[2]01.BALANCE'!$S$3+'[2]01.BALANCE'!$S$11</f>
        <v>411.36103896999998</v>
      </c>
      <c r="AO23" s="8">
        <v>412.45605507000005</v>
      </c>
      <c r="AP23" s="8">
        <v>394.44460880000003</v>
      </c>
      <c r="AQ23" s="8">
        <v>395.33205693999997</v>
      </c>
      <c r="AR23" s="8">
        <v>376.69105180999998</v>
      </c>
      <c r="AS23" s="8">
        <f>314.54490246+62.85</f>
        <v>377.39490246000003</v>
      </c>
      <c r="AT23" s="8">
        <v>359.22353769000006</v>
      </c>
      <c r="AU23" s="8">
        <v>359.66220430999999</v>
      </c>
      <c r="AV23" s="8">
        <v>342.54136075999998</v>
      </c>
      <c r="AW23" s="51"/>
      <c r="AX23" s="51"/>
    </row>
    <row r="24" spans="1:50">
      <c r="A24" s="5" t="s">
        <v>201</v>
      </c>
      <c r="B24" s="8">
        <f>HLOOKUP($B$20,$G$20:$BO$27,$F24,FALSE)</f>
        <v>39.256204357503321</v>
      </c>
      <c r="C24" s="8">
        <f>HLOOKUP($C$20,$G$20:$BO$27,$F24,FALSE)</f>
        <v>38.901968370000006</v>
      </c>
      <c r="D24" s="44">
        <f t="shared" ref="D24:D27" si="18">C24/B24-1</f>
        <v>-9.0236943000733261E-3</v>
      </c>
      <c r="F24" s="56">
        <f t="shared" si="17"/>
        <v>5</v>
      </c>
      <c r="G24" s="5" t="s">
        <v>201</v>
      </c>
      <c r="H24" s="33"/>
      <c r="I24" s="33"/>
      <c r="J24" s="33"/>
      <c r="K24" s="33"/>
      <c r="L24" s="33"/>
      <c r="M24" s="33"/>
      <c r="N24" s="33"/>
      <c r="O24" s="33"/>
      <c r="P24" s="8">
        <v>20.63219316</v>
      </c>
      <c r="Q24" s="8">
        <v>26.780675710000001</v>
      </c>
      <c r="R24" s="8">
        <v>42.75403962</v>
      </c>
      <c r="S24" s="8">
        <v>22.031641610000001</v>
      </c>
      <c r="T24" s="8">
        <v>38.979379139999999</v>
      </c>
      <c r="U24" s="8">
        <v>37.818563949999998</v>
      </c>
      <c r="V24" s="8">
        <v>43.233564700000002</v>
      </c>
      <c r="W24" s="8">
        <v>52.868302270000001</v>
      </c>
      <c r="X24" s="8">
        <v>40.557920690000003</v>
      </c>
      <c r="Y24" s="8">
        <v>52.415248669999997</v>
      </c>
      <c r="Z24" s="8">
        <v>46.437148880000002</v>
      </c>
      <c r="AA24" s="8">
        <v>23.703605549999995</v>
      </c>
      <c r="AB24" s="8">
        <v>13.024790019999999</v>
      </c>
      <c r="AC24" s="8">
        <v>17.493595700000004</v>
      </c>
      <c r="AD24" s="8">
        <v>13.350601600000001</v>
      </c>
      <c r="AE24" s="8">
        <v>23.76704196</v>
      </c>
      <c r="AF24" s="8">
        <v>28.67485688</v>
      </c>
      <c r="AG24" s="8">
        <v>41.006628720000002</v>
      </c>
      <c r="AH24" s="8">
        <v>27.388743770000005</v>
      </c>
      <c r="AI24" s="8">
        <f>+'[3]Carp Dir'!$D$4</f>
        <v>28.840882880000002</v>
      </c>
      <c r="AJ24" s="8">
        <v>21.843691669999998</v>
      </c>
      <c r="AK24" s="8">
        <v>33.105058530000001</v>
      </c>
      <c r="AL24" s="8">
        <v>21.281165947678915</v>
      </c>
      <c r="AM24" s="8">
        <v>27.868612689999999</v>
      </c>
      <c r="AN24" s="8">
        <f>+'[2]01.BALANCE'!$R$3</f>
        <v>21.9</v>
      </c>
      <c r="AO24" s="8">
        <v>39.155071289971971</v>
      </c>
      <c r="AP24" s="8">
        <v>25.200533866652698</v>
      </c>
      <c r="AQ24" s="8">
        <v>49.780322774867329</v>
      </c>
      <c r="AR24" s="8">
        <v>39.256204357503321</v>
      </c>
      <c r="AS24" s="8">
        <v>29.94541975204514</v>
      </c>
      <c r="AT24" s="8">
        <v>40.156621789999996</v>
      </c>
      <c r="AU24" s="8">
        <v>45.912658889999996</v>
      </c>
      <c r="AV24" s="8">
        <v>38.901968370000006</v>
      </c>
    </row>
    <row r="25" spans="1:50">
      <c r="A25" s="5" t="s">
        <v>202</v>
      </c>
      <c r="B25" s="8">
        <f>HLOOKUP($B$20,$G$20:$BO$27,$F25,FALSE)</f>
        <v>337.43484745249668</v>
      </c>
      <c r="C25" s="8">
        <f>HLOOKUP($C$20,$G$20:$BO$27,$F25,FALSE)</f>
        <v>303.63939238999995</v>
      </c>
      <c r="D25" s="44">
        <f t="shared" si="18"/>
        <v>-0.10015401585710371</v>
      </c>
      <c r="F25" s="56">
        <f t="shared" si="17"/>
        <v>6</v>
      </c>
      <c r="G25" s="5" t="s">
        <v>202</v>
      </c>
      <c r="H25" s="33"/>
      <c r="I25" s="33"/>
      <c r="J25" s="33"/>
      <c r="K25" s="33"/>
      <c r="L25" s="33"/>
      <c r="M25" s="33"/>
      <c r="N25" s="33"/>
      <c r="O25" s="33"/>
      <c r="P25" s="8">
        <f>P23-P24</f>
        <v>357.60892777999999</v>
      </c>
      <c r="Q25" s="8">
        <f t="shared" ref="Q25:V25" si="19">Q23-Q24</f>
        <v>356.25294137999998</v>
      </c>
      <c r="R25" s="8">
        <f t="shared" si="19"/>
        <v>335.77891646</v>
      </c>
      <c r="S25" s="8">
        <f t="shared" si="19"/>
        <v>340.85219169999999</v>
      </c>
      <c r="T25" s="8">
        <f t="shared" si="19"/>
        <v>321.79686831000004</v>
      </c>
      <c r="U25" s="8">
        <f>U23-U24</f>
        <v>323.54273853000001</v>
      </c>
      <c r="V25" s="8">
        <f t="shared" si="19"/>
        <v>307.34432609999999</v>
      </c>
      <c r="W25" s="8">
        <f t="shared" ref="W25:X25" si="20">W23-W24</f>
        <v>301.15624766999997</v>
      </c>
      <c r="X25" s="8">
        <f t="shared" si="20"/>
        <v>309.76924835</v>
      </c>
      <c r="Y25" s="8">
        <f t="shared" ref="Y25:Z25" si="21">Y23-Y24</f>
        <v>301.63502271999999</v>
      </c>
      <c r="Z25" s="8">
        <f t="shared" si="21"/>
        <v>298.98818391000003</v>
      </c>
      <c r="AA25" s="8">
        <v>325.38267724999997</v>
      </c>
      <c r="AB25" s="8">
        <f t="shared" ref="AB25:AG25" si="22">+AB23-AB24</f>
        <v>326.88414798999992</v>
      </c>
      <c r="AC25" s="8">
        <f t="shared" si="22"/>
        <v>451.34711448999997</v>
      </c>
      <c r="AD25" s="8">
        <f t="shared" si="22"/>
        <v>443.80922921000001</v>
      </c>
      <c r="AE25" s="8">
        <f t="shared" si="22"/>
        <v>435.49487671999998</v>
      </c>
      <c r="AF25" s="8">
        <f t="shared" si="22"/>
        <v>438.50044033000006</v>
      </c>
      <c r="AG25" s="8">
        <f t="shared" si="22"/>
        <v>431.32762690999999</v>
      </c>
      <c r="AH25" s="8">
        <v>431.15739717999998</v>
      </c>
      <c r="AI25" s="8">
        <f t="shared" ref="AI25:AV25" si="23">+AI23-AI24</f>
        <v>430.70979750999999</v>
      </c>
      <c r="AJ25" s="8">
        <f t="shared" si="23"/>
        <v>421.55630832999998</v>
      </c>
      <c r="AK25" s="8">
        <f t="shared" si="23"/>
        <v>411.79494146999997</v>
      </c>
      <c r="AL25" s="8">
        <f t="shared" si="23"/>
        <v>406.98485445232109</v>
      </c>
      <c r="AM25" s="8">
        <f t="shared" si="23"/>
        <v>401.70858086999999</v>
      </c>
      <c r="AN25" s="8">
        <f t="shared" si="23"/>
        <v>389.46103897</v>
      </c>
      <c r="AO25" s="8">
        <f t="shared" si="23"/>
        <v>373.3009837800281</v>
      </c>
      <c r="AP25" s="8">
        <f t="shared" si="23"/>
        <v>369.24407493334735</v>
      </c>
      <c r="AQ25" s="8">
        <f t="shared" si="23"/>
        <v>345.55173416513264</v>
      </c>
      <c r="AR25" s="8">
        <f t="shared" si="23"/>
        <v>337.43484745249668</v>
      </c>
      <c r="AS25" s="8">
        <f t="shared" si="23"/>
        <v>347.44948270795487</v>
      </c>
      <c r="AT25" s="8">
        <f t="shared" si="23"/>
        <v>319.06691590000008</v>
      </c>
      <c r="AU25" s="8">
        <f t="shared" si="23"/>
        <v>313.74954542</v>
      </c>
      <c r="AV25" s="8">
        <f t="shared" si="23"/>
        <v>303.63939238999995</v>
      </c>
    </row>
    <row r="26" spans="1:50">
      <c r="A26" s="5" t="s">
        <v>203</v>
      </c>
      <c r="B26" s="8">
        <f>HLOOKUP($B$20,$G$20:$BO$27,$F26,FALSE)</f>
        <v>105.24583850000006</v>
      </c>
      <c r="C26" s="8">
        <f>HLOOKUP($C$20,$G$20:$BO$27,$F26,FALSE)</f>
        <v>90.688307479999963</v>
      </c>
      <c r="D26" s="44">
        <f t="shared" si="18"/>
        <v>-0.13831930295277273</v>
      </c>
      <c r="F26" s="56">
        <f t="shared" si="17"/>
        <v>7</v>
      </c>
      <c r="G26" s="5" t="s">
        <v>203</v>
      </c>
      <c r="H26" s="33"/>
      <c r="I26" s="33"/>
      <c r="J26" s="33"/>
      <c r="K26" s="33"/>
      <c r="L26" s="33"/>
      <c r="M26" s="33"/>
      <c r="N26" s="33"/>
      <c r="O26" s="33"/>
      <c r="P26" s="8">
        <v>52.496359250000012</v>
      </c>
      <c r="Q26" s="8">
        <v>43.236194240000017</v>
      </c>
      <c r="R26" s="8">
        <v>46.363594150000011</v>
      </c>
      <c r="S26" s="8">
        <f>SUM('Operating Income'!Q67:T67)</f>
        <v>56.038916260000008</v>
      </c>
      <c r="T26" s="8">
        <f>SUM('Operating Income'!R67:U67)</f>
        <v>50.73002218000002</v>
      </c>
      <c r="U26" s="8">
        <f>SUM('Operating Income'!S67:V67)</f>
        <v>52.520309130000015</v>
      </c>
      <c r="V26" s="8">
        <f>SUM('Operating Income'!T67:W67)</f>
        <v>49.897649080000001</v>
      </c>
      <c r="W26" s="8">
        <f>SUM('Operating Income'!U67:X67)</f>
        <v>53.585730650000002</v>
      </c>
      <c r="X26" s="8">
        <f>SUM('Operating Income'!V67:Y67)</f>
        <v>52.09403240999999</v>
      </c>
      <c r="Y26" s="8">
        <f>SUM('Operating Income'!W67:Z67)</f>
        <v>53.503672749999993</v>
      </c>
      <c r="Z26" s="8">
        <f>SUM('Operating Income'!X67:AA67)</f>
        <v>47.392068980000005</v>
      </c>
      <c r="AA26" s="8">
        <v>35.739567069999993</v>
      </c>
      <c r="AB26" s="8">
        <f>+SUM('Operating Income'!Z67:AC67)</f>
        <v>42.880847799999998</v>
      </c>
      <c r="AC26" s="8">
        <f>+SUM('Operating Income'!AA67:AD67)</f>
        <v>49.031741759999996</v>
      </c>
      <c r="AD26" s="8">
        <f>+SUM('Operating Income'!AB67:AE67)</f>
        <v>57.662942970000003</v>
      </c>
      <c r="AE26" s="8">
        <f>SUM('Operating Income'!AC67:AF67)</f>
        <v>69.930086569999986</v>
      </c>
      <c r="AF26" s="8">
        <v>76.863636579999991</v>
      </c>
      <c r="AG26" s="8">
        <f>+SUM('Operating Income'!AE67:AH67)</f>
        <v>68.089283949999995</v>
      </c>
      <c r="AH26" s="8">
        <f>+SUM('Operating Income'!AF67:AI67)</f>
        <v>67.756404210000014</v>
      </c>
      <c r="AI26" s="8">
        <v>65.112546980000005</v>
      </c>
      <c r="AJ26" s="8">
        <v>62.386580030000005</v>
      </c>
      <c r="AK26" s="8">
        <f>+SUM('Operating Income'!AI66:AL67)</f>
        <v>63.318479580000002</v>
      </c>
      <c r="AL26" s="8">
        <v>67.524850399999991</v>
      </c>
      <c r="AM26" s="8">
        <v>69.527732159999999</v>
      </c>
      <c r="AN26" s="8">
        <f>+SUM('Operating Income'!AL67:AO67)</f>
        <v>77.495678689999977</v>
      </c>
      <c r="AO26" s="8">
        <f>+SUM('Operating Income'!AM67:AP67)</f>
        <v>84.790058539999976</v>
      </c>
      <c r="AP26" s="8">
        <v>89.667325249999962</v>
      </c>
      <c r="AQ26" s="8">
        <v>105.13941662000002</v>
      </c>
      <c r="AR26" s="8">
        <f>+SUM('Operating Income'!AP67:AS67)</f>
        <v>105.24583850000006</v>
      </c>
      <c r="AS26" s="8">
        <v>84.2</v>
      </c>
      <c r="AT26" s="8">
        <v>107.8</v>
      </c>
      <c r="AU26" s="8">
        <f>SUM('Operating Income'!AS67:AV67)</f>
        <v>98.132997599999982</v>
      </c>
      <c r="AV26" s="8">
        <f>SUM('Operating Income'!AT67:AW67)</f>
        <v>90.688307479999963</v>
      </c>
    </row>
    <row r="27" spans="1:50">
      <c r="A27" s="5" t="s">
        <v>204</v>
      </c>
      <c r="B27" s="8">
        <f>HLOOKUP($B$20,$G$20:$BO$27,$F27,FALSE)</f>
        <v>3.2061585736950207</v>
      </c>
      <c r="C27" s="8">
        <f>HLOOKUP($C$20,$G$20:$BO$27,$F27,FALSE)</f>
        <v>3.3481647284790639</v>
      </c>
      <c r="D27" s="44">
        <f t="shared" si="18"/>
        <v>4.4291681624587964E-2</v>
      </c>
      <c r="F27" s="56">
        <f t="shared" si="17"/>
        <v>8</v>
      </c>
      <c r="G27" s="5" t="s">
        <v>204</v>
      </c>
      <c r="H27" s="33"/>
      <c r="I27" s="33"/>
      <c r="J27" s="33"/>
      <c r="K27" s="33"/>
      <c r="L27" s="33"/>
      <c r="M27" s="33"/>
      <c r="N27" s="33"/>
      <c r="O27" s="33"/>
      <c r="P27" s="8">
        <f t="shared" ref="P27" si="24">P25/P26</f>
        <v>6.812071025287338</v>
      </c>
      <c r="Q27" s="8">
        <f t="shared" ref="Q27" si="25">Q25/Q26</f>
        <v>8.2396924068402893</v>
      </c>
      <c r="R27" s="8">
        <f t="shared" ref="R27" si="26">R25/R26</f>
        <v>7.2422969490599751</v>
      </c>
      <c r="S27" s="8">
        <f t="shared" ref="S27:V27" si="27">S25/S26</f>
        <v>6.082419405089329</v>
      </c>
      <c r="T27" s="8">
        <f t="shared" si="27"/>
        <v>6.3433220503669787</v>
      </c>
      <c r="U27" s="8">
        <f t="shared" si="27"/>
        <v>6.1603357613367482</v>
      </c>
      <c r="V27" s="8">
        <f t="shared" si="27"/>
        <v>6.1594951218491349</v>
      </c>
      <c r="W27" s="8">
        <f t="shared" ref="W27:X27" si="28">W25/W26</f>
        <v>5.6200828843228612</v>
      </c>
      <c r="X27" s="8">
        <f t="shared" si="28"/>
        <v>5.9463480559922361</v>
      </c>
      <c r="Y27" s="8">
        <f t="shared" ref="Y27" si="29">Y25/Y26</f>
        <v>5.6376507857584421</v>
      </c>
      <c r="Z27" s="8">
        <f>Z25/Z26</f>
        <v>6.3088231922555744</v>
      </c>
      <c r="AA27" s="8">
        <f>AA25/AA26</f>
        <v>9.1042702507476125</v>
      </c>
      <c r="AB27" s="8">
        <f t="shared" ref="AB27:AH27" si="30">+AB25/AB26</f>
        <v>7.6230803438079393</v>
      </c>
      <c r="AC27" s="8">
        <f t="shared" si="30"/>
        <v>9.2052025542810334</v>
      </c>
      <c r="AD27" s="8">
        <f t="shared" si="30"/>
        <v>7.6966107928431313</v>
      </c>
      <c r="AE27" s="8">
        <f t="shared" si="30"/>
        <v>6.2275752552382411</v>
      </c>
      <c r="AF27" s="8">
        <f t="shared" si="30"/>
        <v>5.7049140509193448</v>
      </c>
      <c r="AG27" s="8">
        <f t="shared" si="30"/>
        <v>6.3347358334203783</v>
      </c>
      <c r="AH27" s="8">
        <f t="shared" si="30"/>
        <v>6.363345313362518</v>
      </c>
      <c r="AI27" s="8">
        <f t="shared" ref="AI27:AN27" si="31">+AI25/AI26</f>
        <v>6.6148510154624569</v>
      </c>
      <c r="AJ27" s="8">
        <f t="shared" si="31"/>
        <v>6.7571632894011024</v>
      </c>
      <c r="AK27" s="8">
        <f t="shared" si="31"/>
        <v>6.503550688542922</v>
      </c>
      <c r="AL27" s="8">
        <f t="shared" si="31"/>
        <v>6.0271863179473426</v>
      </c>
      <c r="AM27" s="8">
        <f t="shared" si="31"/>
        <v>5.777674150877985</v>
      </c>
      <c r="AN27" s="8">
        <f t="shared" si="31"/>
        <v>5.0255839493700174</v>
      </c>
      <c r="AO27" s="8">
        <f t="shared" ref="AO27:AV27" si="32">+AO25/AO26</f>
        <v>4.4026503838763382</v>
      </c>
      <c r="AP27" s="8">
        <f t="shared" si="32"/>
        <v>4.1179334155877196</v>
      </c>
      <c r="AQ27" s="8">
        <f t="shared" si="32"/>
        <v>3.2866050171653747</v>
      </c>
      <c r="AR27" s="8">
        <f t="shared" si="32"/>
        <v>3.2061585736950207</v>
      </c>
      <c r="AS27" s="8">
        <f t="shared" si="32"/>
        <v>4.1264784169590838</v>
      </c>
      <c r="AT27" s="8">
        <f t="shared" si="32"/>
        <v>2.9598044146567726</v>
      </c>
      <c r="AU27" s="8">
        <f t="shared" si="32"/>
        <v>3.1971870124550241</v>
      </c>
      <c r="AV27" s="8">
        <f t="shared" si="32"/>
        <v>3.3481647284790639</v>
      </c>
    </row>
    <row r="29" spans="1:50">
      <c r="G29" s="1" t="s">
        <v>205</v>
      </c>
      <c r="R29" s="32"/>
      <c r="S29" s="32"/>
      <c r="T29" s="32"/>
      <c r="U29" s="32"/>
      <c r="V29" s="32"/>
      <c r="W29" s="32"/>
      <c r="X29" s="51"/>
      <c r="Y29" s="51"/>
      <c r="Z29" s="51"/>
      <c r="AA29" s="51"/>
      <c r="AB29" s="51"/>
      <c r="AC29" s="51"/>
      <c r="AD29" s="51"/>
      <c r="AE29" s="51"/>
      <c r="AF29" s="51"/>
      <c r="AG29" s="51"/>
      <c r="AH29" s="51"/>
      <c r="AI29" s="51"/>
      <c r="AJ29" s="51"/>
      <c r="AK29" s="51"/>
      <c r="AL29" s="51"/>
      <c r="AM29" s="51"/>
      <c r="AN29" s="51"/>
      <c r="AT29" s="51"/>
      <c r="AU29" s="51"/>
      <c r="AV29" s="51"/>
    </row>
    <row r="30" spans="1:50">
      <c r="B30" s="49"/>
      <c r="AU30" s="51"/>
      <c r="AV30" s="51"/>
    </row>
    <row r="31" spans="1:50" ht="119.25" customHeight="1">
      <c r="A31" s="143" t="s">
        <v>206</v>
      </c>
      <c r="B31" s="143"/>
      <c r="C31" s="143"/>
      <c r="D31" s="143"/>
    </row>
  </sheetData>
  <mergeCells count="89">
    <mergeCell ref="A31:D31"/>
    <mergeCell ref="P6:P7"/>
    <mergeCell ref="W6:W7"/>
    <mergeCell ref="W20:W21"/>
    <mergeCell ref="S6:S7"/>
    <mergeCell ref="T6:T7"/>
    <mergeCell ref="U6:U7"/>
    <mergeCell ref="V6:V7"/>
    <mergeCell ref="Q6:Q7"/>
    <mergeCell ref="R6:R7"/>
    <mergeCell ref="U20:U21"/>
    <mergeCell ref="V20:V21"/>
    <mergeCell ref="H6:H7"/>
    <mergeCell ref="H20:H21"/>
    <mergeCell ref="I6:I7"/>
    <mergeCell ref="J6:J7"/>
    <mergeCell ref="B6:B7"/>
    <mergeCell ref="C6:C7"/>
    <mergeCell ref="B20:B21"/>
    <mergeCell ref="C20:C21"/>
    <mergeCell ref="L20:L21"/>
    <mergeCell ref="D20:D21"/>
    <mergeCell ref="D6:D7"/>
    <mergeCell ref="K6:K7"/>
    <mergeCell ref="I20:I21"/>
    <mergeCell ref="J20:J21"/>
    <mergeCell ref="K20:K21"/>
    <mergeCell ref="M20:M21"/>
    <mergeCell ref="N20:N21"/>
    <mergeCell ref="M6:M7"/>
    <mergeCell ref="N6:N7"/>
    <mergeCell ref="L6:L7"/>
    <mergeCell ref="R20:R21"/>
    <mergeCell ref="S20:S21"/>
    <mergeCell ref="O20:O21"/>
    <mergeCell ref="P20:P21"/>
    <mergeCell ref="Q20:Q21"/>
    <mergeCell ref="O6:O7"/>
    <mergeCell ref="X6:X7"/>
    <mergeCell ref="X20:X21"/>
    <mergeCell ref="T20:T21"/>
    <mergeCell ref="AD6:AD7"/>
    <mergeCell ref="AD20:AD21"/>
    <mergeCell ref="AC6:AC7"/>
    <mergeCell ref="AC20:AC21"/>
    <mergeCell ref="AB6:AB7"/>
    <mergeCell ref="AB20:AB21"/>
    <mergeCell ref="Z6:Z7"/>
    <mergeCell ref="Z20:Z21"/>
    <mergeCell ref="Y6:Y7"/>
    <mergeCell ref="Y20:Y21"/>
    <mergeCell ref="AA6:AA7"/>
    <mergeCell ref="AA20:AA21"/>
    <mergeCell ref="AE20:AE21"/>
    <mergeCell ref="AE6:AE7"/>
    <mergeCell ref="AH6:AH7"/>
    <mergeCell ref="AH20:AH21"/>
    <mergeCell ref="AG6:AG7"/>
    <mergeCell ref="AG20:AG21"/>
    <mergeCell ref="AF6:AF7"/>
    <mergeCell ref="AF20:AF21"/>
    <mergeCell ref="AP6:AP7"/>
    <mergeCell ref="AP20:AP21"/>
    <mergeCell ref="AO6:AO7"/>
    <mergeCell ref="AO20:AO21"/>
    <mergeCell ref="AN6:AN7"/>
    <mergeCell ref="AN20:AN21"/>
    <mergeCell ref="AI6:AI7"/>
    <mergeCell ref="AI20:AI21"/>
    <mergeCell ref="AM6:AM7"/>
    <mergeCell ref="AM20:AM21"/>
    <mergeCell ref="AS6:AS7"/>
    <mergeCell ref="AS20:AS21"/>
    <mergeCell ref="AK6:AK7"/>
    <mergeCell ref="AK20:AK21"/>
    <mergeCell ref="AJ6:AJ7"/>
    <mergeCell ref="AJ20:AJ21"/>
    <mergeCell ref="AL6:AL7"/>
    <mergeCell ref="AL20:AL21"/>
    <mergeCell ref="AR6:AR7"/>
    <mergeCell ref="AR20:AR21"/>
    <mergeCell ref="AQ6:AQ7"/>
    <mergeCell ref="AQ20:AQ21"/>
    <mergeCell ref="AV6:AV7"/>
    <mergeCell ref="AV20:AV21"/>
    <mergeCell ref="AU6:AU7"/>
    <mergeCell ref="AU20:AU21"/>
    <mergeCell ref="AT6:AT7"/>
    <mergeCell ref="AT20:AT21"/>
  </mergeCells>
  <pageMargins left="0.7" right="0.7" top="0.75" bottom="0.75" header="0.3" footer="0.3"/>
  <pageSetup orientation="portrait" r:id="rId1"/>
  <ignoredErrors>
    <ignoredError sqref="AK11 AR11" 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448556e-ab45-447d-a243-5b6498f30d0f" xsi:nil="true"/>
    <lcf76f155ced4ddcb4097134ff3c332f xmlns="af28b929-2fa0-4937-be7e-13907b45f7fc">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82AEAA8A3D209B41BC4DB5A9CB5E50DE" ma:contentTypeVersion="16" ma:contentTypeDescription="Crear nuevo documento." ma:contentTypeScope="" ma:versionID="e988ecc20b75482f22131ec352b3a932">
  <xsd:schema xmlns:xsd="http://www.w3.org/2001/XMLSchema" xmlns:xs="http://www.w3.org/2001/XMLSchema" xmlns:p="http://schemas.microsoft.com/office/2006/metadata/properties" xmlns:ns2="af28b929-2fa0-4937-be7e-13907b45f7fc" xmlns:ns3="8448556e-ab45-447d-a243-5b6498f30d0f" targetNamespace="http://schemas.microsoft.com/office/2006/metadata/properties" ma:root="true" ma:fieldsID="a6d9b3854f91be1d26eaaa8ae8560882" ns2:_="" ns3:_="">
    <xsd:import namespace="af28b929-2fa0-4937-be7e-13907b45f7fc"/>
    <xsd:import namespace="8448556e-ab45-447d-a243-5b6498f30d0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28b929-2fa0-4937-be7e-13907b45f7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e75f71c0-b4dd-493d-965f-77a5d41d4b26" ma:termSetId="09814cd3-568e-fe90-9814-8d621ff8fb84" ma:anchorId="fba54fb3-c3e1-fe81-a776-ca4b69148c4d" ma:open="true" ma:isKeyword="false">
      <xsd:complexType>
        <xsd:sequence>
          <xsd:element ref="pc:Terms" minOccurs="0" maxOccurs="1"/>
        </xsd:sequence>
      </xsd:complex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448556e-ab45-447d-a243-5b6498f30d0f"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18" nillable="true" ma:displayName="Taxonomy Catch All Column" ma:hidden="true" ma:list="{ed38ad9a-3782-4073-8f84-34df946470be}" ma:internalName="TaxCatchAll" ma:showField="CatchAllData" ma:web="8448556e-ab45-447d-a243-5b6498f30d0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5F6794-A2FB-4EC1-92F9-2F6866DB1C90}">
  <ds:schemaRefs>
    <ds:schemaRef ds:uri="http://schemas.microsoft.com/sharepoint/v3/contenttype/forms"/>
  </ds:schemaRefs>
</ds:datastoreItem>
</file>

<file path=customXml/itemProps2.xml><?xml version="1.0" encoding="utf-8"?>
<ds:datastoreItem xmlns:ds="http://schemas.openxmlformats.org/officeDocument/2006/customXml" ds:itemID="{D7A24069-4881-426E-A50B-2B90C6FAFD2F}">
  <ds:schemaRefs>
    <ds:schemaRef ds:uri="http://purl.org/dc/terms/"/>
    <ds:schemaRef ds:uri="http://purl.org/dc/elements/1.1/"/>
    <ds:schemaRef ds:uri="af28b929-2fa0-4937-be7e-13907b45f7fc"/>
    <ds:schemaRef ds:uri="http://schemas.openxmlformats.org/package/2006/metadata/core-properties"/>
    <ds:schemaRef ds:uri="http://schemas.microsoft.com/office/2006/documentManagement/types"/>
    <ds:schemaRef ds:uri="http://schemas.microsoft.com/office/infopath/2007/PartnerControls"/>
    <ds:schemaRef ds:uri="8448556e-ab45-447d-a243-5b6498f30d0f"/>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6988688E-6069-4CD8-ABCB-2D5B848E80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f28b929-2fa0-4937-be7e-13907b45f7fc"/>
    <ds:schemaRef ds:uri="8448556e-ab45-447d-a243-5b6498f30d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Index</vt:lpstr>
      <vt:lpstr>Installed Capacity</vt:lpstr>
      <vt:lpstr>PPAs</vt:lpstr>
      <vt:lpstr>Physical Sales &amp; Gx.</vt:lpstr>
      <vt:lpstr>Income Statement</vt:lpstr>
      <vt:lpstr>Operating Income</vt:lpstr>
      <vt:lpstr>Non-Operating Income</vt:lpstr>
      <vt:lpstr>Balance Sheet</vt:lpstr>
      <vt:lpstr>Main Debt Items</vt:lpstr>
      <vt:lpstr>Amortization Profile</vt:lpstr>
      <vt:lpstr>Cash Flow</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Isidora Zaldivar Safian</dc:creator>
  <cp:keywords/>
  <dc:description/>
  <cp:lastModifiedBy>Macarena Del Pilar Guell Moreno</cp:lastModifiedBy>
  <cp:revision/>
  <dcterms:created xsi:type="dcterms:W3CDTF">2017-12-05T18:05:13Z</dcterms:created>
  <dcterms:modified xsi:type="dcterms:W3CDTF">2024-04-30T19:16:34Z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0x01010082AEAA8A3D209B41BC4DB5A9CB5E50DE</vt:lpwstr>
  </property>
  <property fmtid="{D5CDD505-2E9C-101B-9397-08002B2CF9AE}" pid="3" name="MediaServiceImageTags">
    <vt:lpwstr/>
  </property>
</Properties>
</file>