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mc:AlternateContent xmlns:mc="http://schemas.openxmlformats.org/markup-compatibility/2006">
    <mc:Choice Requires="x15">
      <x15ac:absPath xmlns:x15ac="http://schemas.microsoft.com/office/spreadsheetml/2010/11/ac" url="https://colbun-my.sharepoint.com/personal/izaldivar_colbun_cl/Documents/RESPALDO IZ/Datos Financieros Pagina Web/2Q21/"/>
    </mc:Choice>
  </mc:AlternateContent>
  <xr:revisionPtr revIDLastSave="793" documentId="13_ncr:1_{D5C2D57B-CF40-40CA-943F-12F5B7EA17B4}" xr6:coauthVersionLast="46" xr6:coauthVersionMax="46" xr10:uidLastSave="{10A66777-3F7A-4688-8D0F-6F3E35D067C2}"/>
  <bookViews>
    <workbookView xWindow="-108" yWindow="-108" windowWidth="23256" windowHeight="12576" tabRatio="723" firstSheet="1" activeTab="5"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18" i="5" l="1"/>
  <c r="AL16" i="5"/>
  <c r="AL14" i="5"/>
  <c r="AL13" i="5"/>
  <c r="AL12" i="5"/>
  <c r="AL11" i="5"/>
  <c r="AL9" i="5"/>
  <c r="AL37" i="5"/>
  <c r="AL28" i="5"/>
  <c r="AL33" i="5"/>
  <c r="AK13" i="7"/>
  <c r="AK12" i="7"/>
  <c r="AK11" i="7"/>
  <c r="AK10" i="7"/>
  <c r="AK9" i="7"/>
  <c r="Z37" i="4"/>
  <c r="Z18" i="4"/>
  <c r="Z16" i="4"/>
  <c r="Z9" i="4"/>
  <c r="AL21" i="3"/>
  <c r="AL19" i="3"/>
  <c r="AL17" i="3"/>
  <c r="AL11" i="3"/>
  <c r="AL10" i="3"/>
  <c r="AL9" i="3"/>
  <c r="AL13" i="3"/>
  <c r="AL29" i="2"/>
  <c r="AL28" i="2"/>
  <c r="AL27" i="2"/>
  <c r="Z29" i="1" l="1"/>
  <c r="AK25" i="7"/>
  <c r="D35" i="4"/>
  <c r="D34" i="4"/>
  <c r="D33" i="4"/>
  <c r="D29" i="4"/>
  <c r="D28" i="4"/>
  <c r="Z15" i="4"/>
  <c r="Z14" i="4"/>
  <c r="Z10" i="4"/>
  <c r="Z12" i="4" s="1"/>
  <c r="D37" i="4"/>
  <c r="Z31" i="4"/>
  <c r="D31" i="4" s="1"/>
  <c r="AL15" i="3"/>
  <c r="AL47" i="3"/>
  <c r="AL44" i="3"/>
  <c r="AL46" i="3" s="1"/>
  <c r="AL38" i="3"/>
  <c r="E15" i="2"/>
  <c r="AH33" i="2"/>
  <c r="AG29" i="2"/>
  <c r="AG28" i="2"/>
  <c r="AG27" i="2"/>
  <c r="AH29" i="2"/>
  <c r="AH28" i="2"/>
  <c r="AH27" i="2"/>
  <c r="AG23" i="2"/>
  <c r="AG20" i="2"/>
  <c r="AG19" i="2"/>
  <c r="AG18" i="2"/>
  <c r="AH23" i="2"/>
  <c r="AH21" i="2"/>
  <c r="AH20" i="2"/>
  <c r="AH19" i="2"/>
  <c r="AH18" i="2"/>
  <c r="AK29" i="2"/>
  <c r="AK28" i="2"/>
  <c r="AK27" i="2"/>
  <c r="AK23" i="2"/>
  <c r="AK21" i="2"/>
  <c r="AK20" i="2"/>
  <c r="AK19" i="2"/>
  <c r="AK18" i="2"/>
  <c r="AL23" i="2"/>
  <c r="AL21" i="2"/>
  <c r="AL20" i="2"/>
  <c r="AL19" i="2"/>
  <c r="AL18" i="2"/>
  <c r="AL17" i="2" s="1"/>
  <c r="AL15" i="2"/>
  <c r="AL13" i="2"/>
  <c r="AL12" i="2"/>
  <c r="AL11" i="2"/>
  <c r="AL77" i="2"/>
  <c r="AL83" i="2" s="1"/>
  <c r="AL85" i="2" s="1"/>
  <c r="AL33" i="2" s="1"/>
  <c r="AL70" i="2"/>
  <c r="AL63" i="2"/>
  <c r="Z37" i="1"/>
  <c r="Z13" i="1"/>
  <c r="Z9" i="1"/>
  <c r="Z21" i="1" s="1"/>
  <c r="Z27" i="1" s="1"/>
  <c r="AL51" i="6"/>
  <c r="AL46" i="6"/>
  <c r="AL39" i="6"/>
  <c r="AL29" i="6"/>
  <c r="AL24" i="6"/>
  <c r="AL20" i="6"/>
  <c r="AL17" i="6" s="1"/>
  <c r="AL9" i="6"/>
  <c r="Z39" i="1" l="1"/>
  <c r="Z43" i="1" s="1"/>
  <c r="AL10" i="2"/>
  <c r="AL25" i="2" s="1"/>
  <c r="AL31" i="2" s="1"/>
  <c r="AJ10" i="7"/>
  <c r="AJ9" i="7"/>
  <c r="AJ11" i="7" s="1"/>
  <c r="AK16" i="5" l="1"/>
  <c r="AK13" i="5"/>
  <c r="AK12" i="5"/>
  <c r="AK11" i="5"/>
  <c r="AK33" i="5"/>
  <c r="AK37" i="5" s="1"/>
  <c r="AJ9" i="5"/>
  <c r="AK14" i="5" l="1"/>
  <c r="AJ25" i="7" l="1"/>
  <c r="AJ27" i="7" s="1"/>
  <c r="C35" i="4"/>
  <c r="C34" i="4"/>
  <c r="C33" i="4"/>
  <c r="C32" i="4"/>
  <c r="C30" i="4"/>
  <c r="C29" i="4"/>
  <c r="C28" i="4"/>
  <c r="Y16" i="4"/>
  <c r="Y15" i="4"/>
  <c r="Y14" i="4"/>
  <c r="Y10" i="4"/>
  <c r="Y9" i="4"/>
  <c r="Y37" i="4"/>
  <c r="Y31" i="4"/>
  <c r="AK19" i="3"/>
  <c r="AG15" i="3"/>
  <c r="AK17" i="3"/>
  <c r="AK13" i="3"/>
  <c r="AK11" i="3"/>
  <c r="AK10" i="3"/>
  <c r="AK9" i="3"/>
  <c r="AK15" i="3" s="1"/>
  <c r="AK44" i="3"/>
  <c r="AK47" i="3" s="1"/>
  <c r="AK38" i="3"/>
  <c r="AG17" i="3"/>
  <c r="C10" i="2"/>
  <c r="AK15" i="2"/>
  <c r="AK14" i="2"/>
  <c r="AK13" i="2"/>
  <c r="AK12" i="2"/>
  <c r="AK11" i="2"/>
  <c r="AK70" i="2"/>
  <c r="AK63" i="2"/>
  <c r="Y37" i="1"/>
  <c r="Y13" i="1"/>
  <c r="Y9" i="1"/>
  <c r="AK51" i="6"/>
  <c r="AH46" i="6"/>
  <c r="AI46" i="6"/>
  <c r="AJ46" i="6"/>
  <c r="AK46" i="6"/>
  <c r="AH39" i="6"/>
  <c r="AI39" i="6"/>
  <c r="AJ39" i="6"/>
  <c r="AK39" i="6"/>
  <c r="AK10" i="2" l="1"/>
  <c r="Y21" i="1"/>
  <c r="Y29" i="1" s="1"/>
  <c r="AK21" i="3"/>
  <c r="AK77" i="2"/>
  <c r="AK83" i="2" s="1"/>
  <c r="AK85" i="2" s="1"/>
  <c r="AK33" i="2" s="1"/>
  <c r="Y27" i="1"/>
  <c r="Y39" i="1" s="1"/>
  <c r="Y43" i="1" s="1"/>
  <c r="Y18" i="4"/>
  <c r="Y12" i="4"/>
  <c r="AK24" i="6" l="1"/>
  <c r="AK29" i="6"/>
  <c r="AH24" i="6"/>
  <c r="AI24" i="6"/>
  <c r="AJ24" i="6"/>
  <c r="AH20" i="6"/>
  <c r="AH17" i="6" s="1"/>
  <c r="AI20" i="6"/>
  <c r="AJ20" i="6"/>
  <c r="AK20" i="6"/>
  <c r="AK17" i="6" s="1"/>
  <c r="AH9" i="6"/>
  <c r="AI9" i="6"/>
  <c r="AJ9" i="6"/>
  <c r="AK9" i="6"/>
  <c r="D10" i="2"/>
  <c r="AI21" i="3"/>
  <c r="AI23" i="3"/>
  <c r="AI47" i="3"/>
  <c r="S47" i="3"/>
  <c r="T47" i="3"/>
  <c r="R47" i="3"/>
  <c r="Q47" i="3"/>
  <c r="AJ37" i="5"/>
  <c r="D37" i="5" s="1"/>
  <c r="AJ16" i="5"/>
  <c r="AJ13" i="5"/>
  <c r="D13" i="5" s="1"/>
  <c r="AJ12" i="5"/>
  <c r="AJ11" i="5"/>
  <c r="AJ33" i="5"/>
  <c r="AI12" i="7"/>
  <c r="AI24" i="7"/>
  <c r="AI10" i="7" s="1"/>
  <c r="C10" i="7" s="1"/>
  <c r="AI23" i="7"/>
  <c r="AI25" i="7" s="1"/>
  <c r="AI27" i="7" s="1"/>
  <c r="C27" i="7" s="1"/>
  <c r="X16" i="4"/>
  <c r="X15" i="4"/>
  <c r="X14" i="4"/>
  <c r="X10" i="4"/>
  <c r="X12" i="4" s="1"/>
  <c r="C12" i="4" s="1"/>
  <c r="X9" i="4"/>
  <c r="X37" i="4"/>
  <c r="C37" i="4" s="1"/>
  <c r="X31" i="4"/>
  <c r="C31" i="4" s="1"/>
  <c r="AJ19" i="3"/>
  <c r="AJ17" i="3"/>
  <c r="AJ21" i="3" s="1"/>
  <c r="D21" i="3" s="1"/>
  <c r="AJ13" i="3"/>
  <c r="AJ11" i="3"/>
  <c r="AJ10" i="3"/>
  <c r="AJ9" i="3"/>
  <c r="AJ44" i="3"/>
  <c r="AJ47" i="3" s="1"/>
  <c r="AJ38" i="3"/>
  <c r="E11" i="2"/>
  <c r="E12" i="2"/>
  <c r="E13" i="2"/>
  <c r="AJ29" i="2"/>
  <c r="AJ28" i="2"/>
  <c r="AJ27" i="2"/>
  <c r="AJ22" i="2"/>
  <c r="AJ23" i="2"/>
  <c r="AJ20" i="2"/>
  <c r="AJ19" i="2"/>
  <c r="AJ18" i="2"/>
  <c r="AJ15" i="2"/>
  <c r="AJ13" i="2"/>
  <c r="AJ12" i="2"/>
  <c r="AJ11" i="2"/>
  <c r="AJ70" i="2"/>
  <c r="AJ63" i="2"/>
  <c r="U37" i="1"/>
  <c r="V37" i="1"/>
  <c r="W37" i="1"/>
  <c r="X37" i="1"/>
  <c r="U13" i="1"/>
  <c r="V13" i="1"/>
  <c r="W13" i="1"/>
  <c r="X13" i="1"/>
  <c r="X9" i="1"/>
  <c r="X21" i="1" s="1"/>
  <c r="AJ51" i="6"/>
  <c r="AJ29" i="6"/>
  <c r="AB70"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AH10" i="7"/>
  <c r="AH9" i="7"/>
  <c r="W37" i="4"/>
  <c r="W16" i="4"/>
  <c r="W15" i="4"/>
  <c r="W14" i="4"/>
  <c r="W10" i="4"/>
  <c r="W9" i="4"/>
  <c r="W31" i="4"/>
  <c r="AI17" i="3"/>
  <c r="AI10" i="3"/>
  <c r="AI13" i="3"/>
  <c r="AI11" i="3"/>
  <c r="AI9" i="3"/>
  <c r="AI38" i="3"/>
  <c r="AH17" i="3"/>
  <c r="AI33" i="2"/>
  <c r="AI29" i="2"/>
  <c r="AI28" i="2"/>
  <c r="AI27" i="2"/>
  <c r="AI22" i="2"/>
  <c r="AI20" i="2"/>
  <c r="AI19" i="2"/>
  <c r="AI18" i="2"/>
  <c r="AI17" i="2" s="1"/>
  <c r="AI15" i="2"/>
  <c r="AI13" i="2"/>
  <c r="AI12" i="2"/>
  <c r="AI83" i="2"/>
  <c r="AI70" i="2"/>
  <c r="AI63" i="2"/>
  <c r="W9" i="1"/>
  <c r="AI51" i="6"/>
  <c r="AI29" i="6"/>
  <c r="AH12" i="5"/>
  <c r="AH11" i="5"/>
  <c r="AH16" i="5"/>
  <c r="AH13" i="5"/>
  <c r="AH33" i="5"/>
  <c r="AG10" i="7"/>
  <c r="AG9" i="7"/>
  <c r="AG11" i="7" s="1"/>
  <c r="AG25" i="7"/>
  <c r="V16" i="4"/>
  <c r="V15" i="4"/>
  <c r="V14" i="4"/>
  <c r="V10" i="4"/>
  <c r="V9" i="4"/>
  <c r="V37" i="4"/>
  <c r="V31" i="4"/>
  <c r="C47" i="3"/>
  <c r="AH46" i="3"/>
  <c r="AH21" i="3"/>
  <c r="AH13" i="3"/>
  <c r="AH11" i="3"/>
  <c r="AH10" i="3"/>
  <c r="AH9" i="3"/>
  <c r="AH38" i="3"/>
  <c r="E41" i="2"/>
  <c r="AH15" i="2"/>
  <c r="AH13" i="2"/>
  <c r="AH12" i="2"/>
  <c r="AH11" i="2"/>
  <c r="AH10" i="2" s="1"/>
  <c r="AH70" i="2"/>
  <c r="AH63"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AF10" i="2" s="1"/>
  <c r="R46" i="3"/>
  <c r="S46" i="3"/>
  <c r="T46" i="3"/>
  <c r="Q46" i="3"/>
  <c r="AG12" i="2"/>
  <c r="AG11" i="2"/>
  <c r="AG13" i="2"/>
  <c r="C46" i="1"/>
  <c r="AG39" i="6"/>
  <c r="D39" i="6"/>
  <c r="AG16" i="5"/>
  <c r="AG13" i="5"/>
  <c r="AG12" i="5"/>
  <c r="AG11" i="5"/>
  <c r="AG33" i="5"/>
  <c r="AF10" i="7"/>
  <c r="AF9" i="7"/>
  <c r="AF25" i="7"/>
  <c r="AF27" i="7" s="1"/>
  <c r="U16" i="4"/>
  <c r="U15" i="4"/>
  <c r="U14" i="4"/>
  <c r="U18" i="4"/>
  <c r="U10" i="4"/>
  <c r="U9" i="4"/>
  <c r="U37" i="4"/>
  <c r="U31" i="4"/>
  <c r="AG21" i="3"/>
  <c r="AC17" i="3"/>
  <c r="AC21" i="3" s="1"/>
  <c r="AC13" i="3"/>
  <c r="AC11" i="3"/>
  <c r="AC10" i="3"/>
  <c r="AC9" i="3"/>
  <c r="AC15" i="3" s="1"/>
  <c r="AD44" i="3"/>
  <c r="AD46" i="3" s="1"/>
  <c r="AE44" i="3"/>
  <c r="AE46" i="3" s="1"/>
  <c r="AF44" i="3"/>
  <c r="AF46" i="3" s="1"/>
  <c r="AG44" i="3"/>
  <c r="AG46" i="3" s="1"/>
  <c r="AD38" i="3"/>
  <c r="AE38" i="3"/>
  <c r="AF38" i="3"/>
  <c r="AG38" i="3"/>
  <c r="C38" i="3" s="1"/>
  <c r="AF11" i="7"/>
  <c r="AD15" i="3"/>
  <c r="AC29" i="2"/>
  <c r="AC28" i="2"/>
  <c r="AC27" i="2"/>
  <c r="AC23" i="2"/>
  <c r="AC21" i="2"/>
  <c r="AC20" i="2"/>
  <c r="AC19" i="2"/>
  <c r="AC18" i="2"/>
  <c r="AD17" i="2"/>
  <c r="AE17" i="2"/>
  <c r="AE25" i="2" s="1"/>
  <c r="AE31" i="2" s="1"/>
  <c r="AE33" i="2" s="1"/>
  <c r="AG15" i="2"/>
  <c r="AG14" i="2"/>
  <c r="AC15" i="2"/>
  <c r="AC13" i="2"/>
  <c r="AC14" i="2"/>
  <c r="AC12" i="2"/>
  <c r="AC11" i="2"/>
  <c r="AD10" i="2"/>
  <c r="AE10" i="2"/>
  <c r="AG70" i="2"/>
  <c r="AG63" i="2"/>
  <c r="C63" i="2" s="1"/>
  <c r="R37" i="1"/>
  <c r="S37" i="1"/>
  <c r="T37" i="1"/>
  <c r="R13" i="1"/>
  <c r="S13" i="1"/>
  <c r="T13" i="1"/>
  <c r="R9" i="1"/>
  <c r="R21" i="1" s="1"/>
  <c r="R27" i="1" s="1"/>
  <c r="S9" i="1"/>
  <c r="T9" i="1"/>
  <c r="T21" i="1" s="1"/>
  <c r="U9" i="1"/>
  <c r="AD51" i="6"/>
  <c r="AE51" i="6"/>
  <c r="AF51" i="6"/>
  <c r="AG51" i="6"/>
  <c r="C51" i="6" s="1"/>
  <c r="AD46" i="6"/>
  <c r="AE46" i="6"/>
  <c r="AF46" i="6"/>
  <c r="AG46" i="6"/>
  <c r="AG29" i="6"/>
  <c r="AG24" i="6"/>
  <c r="AG20" i="6"/>
  <c r="AG9" i="6"/>
  <c r="P9" i="1"/>
  <c r="AE25" i="7"/>
  <c r="AE11" i="7"/>
  <c r="U25" i="7"/>
  <c r="AD25" i="7"/>
  <c r="D31" i="5"/>
  <c r="AF33" i="5"/>
  <c r="AF37" i="5" s="1"/>
  <c r="D9" i="4"/>
  <c r="T37" i="4"/>
  <c r="T31" i="4"/>
  <c r="D9" i="3"/>
  <c r="AF70" i="2"/>
  <c r="T12" i="4"/>
  <c r="AF15" i="3"/>
  <c r="AF14" i="5"/>
  <c r="AF18" i="5" s="1"/>
  <c r="C18" i="5" s="1"/>
  <c r="T18" i="4"/>
  <c r="AF63" i="2"/>
  <c r="D65" i="2"/>
  <c r="D64" i="2"/>
  <c r="AF39" i="6"/>
  <c r="AF20" i="6"/>
  <c r="AF29" i="6"/>
  <c r="AF24" i="6"/>
  <c r="AF9" i="6"/>
  <c r="U29" i="6"/>
  <c r="AE17" i="3"/>
  <c r="AE21" i="3" s="1"/>
  <c r="C64" i="2"/>
  <c r="C65" i="2"/>
  <c r="C66" i="2"/>
  <c r="C67" i="2"/>
  <c r="O10" i="1"/>
  <c r="AE16" i="5"/>
  <c r="AE13" i="5"/>
  <c r="AE33" i="5"/>
  <c r="AE37" i="5"/>
  <c r="AE12" i="5"/>
  <c r="AE11" i="5"/>
  <c r="AE14" i="5" s="1"/>
  <c r="AE18" i="5" s="1"/>
  <c r="AD10" i="7"/>
  <c r="AD9" i="7"/>
  <c r="S16" i="4"/>
  <c r="S15" i="4"/>
  <c r="S14" i="4"/>
  <c r="S18" i="4" s="1"/>
  <c r="S10" i="4"/>
  <c r="S9" i="4"/>
  <c r="S37" i="4"/>
  <c r="S31" i="4"/>
  <c r="AE13" i="3"/>
  <c r="AE11" i="3"/>
  <c r="AE10" i="3"/>
  <c r="AE70" i="2"/>
  <c r="AE63" i="2"/>
  <c r="D63" i="2"/>
  <c r="AE39" i="6"/>
  <c r="AE29" i="6"/>
  <c r="AE24" i="6"/>
  <c r="AE20" i="6"/>
  <c r="AE9" i="6"/>
  <c r="AE17" i="6"/>
  <c r="C25" i="7"/>
  <c r="C24" i="7"/>
  <c r="C23" i="7"/>
  <c r="B24" i="7"/>
  <c r="B23" i="7"/>
  <c r="C9" i="7"/>
  <c r="E51" i="2"/>
  <c r="E50" i="2"/>
  <c r="E46" i="2"/>
  <c r="D44" i="2"/>
  <c r="C44" i="2"/>
  <c r="D40" i="2"/>
  <c r="C40" i="2"/>
  <c r="E29" i="2"/>
  <c r="E28" i="2"/>
  <c r="E27" i="2"/>
  <c r="E23" i="2"/>
  <c r="E22" i="2"/>
  <c r="E21" i="2"/>
  <c r="E20" i="2"/>
  <c r="E19" i="2"/>
  <c r="E18" i="2"/>
  <c r="D17" i="2"/>
  <c r="D25" i="2" s="1"/>
  <c r="C17" i="2"/>
  <c r="C25" i="2" s="1"/>
  <c r="C31" i="2" s="1"/>
  <c r="C33" i="2" s="1"/>
  <c r="E10" i="2"/>
  <c r="D35" i="5"/>
  <c r="D32" i="5"/>
  <c r="D30" i="5"/>
  <c r="D28" i="5"/>
  <c r="C35" i="5"/>
  <c r="C32" i="5"/>
  <c r="C31" i="5"/>
  <c r="C30" i="5"/>
  <c r="D16" i="5"/>
  <c r="D12" i="5"/>
  <c r="D11" i="5"/>
  <c r="D9" i="5"/>
  <c r="AD14" i="5"/>
  <c r="AD33" i="5"/>
  <c r="AD37" i="5" s="1"/>
  <c r="D33" i="5"/>
  <c r="AC25" i="7"/>
  <c r="E34" i="4"/>
  <c r="E29" i="4"/>
  <c r="E28" i="4"/>
  <c r="D18" i="4"/>
  <c r="D17" i="4"/>
  <c r="D16" i="4"/>
  <c r="D15" i="4"/>
  <c r="D14" i="4"/>
  <c r="D12" i="4"/>
  <c r="D11" i="4"/>
  <c r="D10" i="4"/>
  <c r="C17" i="4"/>
  <c r="C11" i="4"/>
  <c r="R18" i="4"/>
  <c r="R12" i="4"/>
  <c r="R37" i="4"/>
  <c r="R31" i="4"/>
  <c r="D44" i="3"/>
  <c r="D42" i="3"/>
  <c r="D40" i="3"/>
  <c r="D38" i="3"/>
  <c r="D36" i="3"/>
  <c r="D35" i="3"/>
  <c r="D34" i="3"/>
  <c r="D33" i="3"/>
  <c r="C42" i="3"/>
  <c r="C36" i="3"/>
  <c r="C35" i="3"/>
  <c r="C34" i="3"/>
  <c r="C33" i="3"/>
  <c r="D19" i="3"/>
  <c r="D17" i="3"/>
  <c r="D13" i="3"/>
  <c r="D12" i="3"/>
  <c r="D10" i="3"/>
  <c r="C13" i="3"/>
  <c r="D84" i="2"/>
  <c r="D82" i="2"/>
  <c r="D81" i="2"/>
  <c r="D80" i="2"/>
  <c r="D79" i="2"/>
  <c r="D78" i="2"/>
  <c r="D76" i="2"/>
  <c r="D75" i="2"/>
  <c r="D74" i="2"/>
  <c r="D73" i="2"/>
  <c r="D72" i="2"/>
  <c r="D71" i="2"/>
  <c r="D69" i="2"/>
  <c r="D68" i="2"/>
  <c r="D67" i="2"/>
  <c r="D66" i="2"/>
  <c r="C84" i="2"/>
  <c r="C82" i="2"/>
  <c r="C81" i="2"/>
  <c r="C80" i="2"/>
  <c r="C79" i="2"/>
  <c r="C78" i="2"/>
  <c r="C76" i="2"/>
  <c r="C75" i="2"/>
  <c r="C74" i="2"/>
  <c r="C73" i="2"/>
  <c r="C72" i="2"/>
  <c r="C71" i="2"/>
  <c r="C69" i="2"/>
  <c r="C68" i="2"/>
  <c r="AD70" i="2"/>
  <c r="D70" i="2"/>
  <c r="AD63"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D50" i="6"/>
  <c r="D48" i="6"/>
  <c r="D46" i="6"/>
  <c r="D44" i="6"/>
  <c r="D42" i="6"/>
  <c r="D41" i="6"/>
  <c r="C50" i="6"/>
  <c r="C48" i="6"/>
  <c r="C44" i="6"/>
  <c r="C43" i="6"/>
  <c r="C42" i="6"/>
  <c r="C41" i="6"/>
  <c r="A7" i="6"/>
  <c r="A8" i="6" s="1"/>
  <c r="A9" i="6" s="1"/>
  <c r="Z9" i="6"/>
  <c r="AD39" i="6"/>
  <c r="AD29" i="6"/>
  <c r="AD24" i="6"/>
  <c r="AD20" i="6"/>
  <c r="AD17" i="6" s="1"/>
  <c r="AD9" i="6"/>
  <c r="AD25" i="2"/>
  <c r="AD31" i="2" s="1"/>
  <c r="AD33" i="2" s="1"/>
  <c r="D77" i="2"/>
  <c r="Q37" i="1"/>
  <c r="P37" i="1"/>
  <c r="C37" i="1"/>
  <c r="O37" i="1"/>
  <c r="N37" i="1"/>
  <c r="M37" i="1"/>
  <c r="L37" i="1"/>
  <c r="K37" i="1"/>
  <c r="J37" i="1"/>
  <c r="I37" i="1"/>
  <c r="Q13" i="1"/>
  <c r="Q21" i="1" s="1"/>
  <c r="P13" i="1"/>
  <c r="O13" i="1"/>
  <c r="O21" i="1" s="1"/>
  <c r="O29" i="1" s="1"/>
  <c r="N13" i="1"/>
  <c r="M13" i="1"/>
  <c r="L13" i="1"/>
  <c r="K13" i="1"/>
  <c r="J13" i="1"/>
  <c r="I13" i="1"/>
  <c r="Q9" i="1"/>
  <c r="O9" i="1"/>
  <c r="N9" i="1"/>
  <c r="M9" i="1"/>
  <c r="L9" i="1"/>
  <c r="L21" i="1" s="1"/>
  <c r="K9" i="1"/>
  <c r="J9" i="1"/>
  <c r="J21" i="1" s="1"/>
  <c r="J29" i="1" s="1"/>
  <c r="I9" i="1"/>
  <c r="C9" i="1"/>
  <c r="AC46" i="6"/>
  <c r="AC16" i="5"/>
  <c r="AC13" i="5"/>
  <c r="AC12" i="5"/>
  <c r="AC11" i="5"/>
  <c r="AC33" i="5"/>
  <c r="AC37" i="5" s="1"/>
  <c r="AB9" i="7"/>
  <c r="AB10" i="7"/>
  <c r="AB25" i="7"/>
  <c r="AB11" i="7" s="1"/>
  <c r="B25" i="7"/>
  <c r="Q16" i="4"/>
  <c r="Q15" i="4"/>
  <c r="Q14" i="4"/>
  <c r="Q10" i="4"/>
  <c r="Q9" i="4"/>
  <c r="Q31" i="4"/>
  <c r="Q37" i="4"/>
  <c r="AC44" i="3"/>
  <c r="AC46" i="3" s="1"/>
  <c r="AC38" i="3"/>
  <c r="AC70" i="2"/>
  <c r="AC77" i="2" s="1"/>
  <c r="AC83" i="2" s="1"/>
  <c r="AC85" i="2" s="1"/>
  <c r="AC63" i="2"/>
  <c r="AC51" i="6"/>
  <c r="AC39" i="6"/>
  <c r="AC29" i="6"/>
  <c r="AC24" i="6"/>
  <c r="AC20" i="6"/>
  <c r="AC9" i="6"/>
  <c r="AC17" i="6"/>
  <c r="AA10" i="7"/>
  <c r="B10" i="7"/>
  <c r="AA9" i="7"/>
  <c r="AA27" i="7"/>
  <c r="AB16" i="5"/>
  <c r="C16" i="5"/>
  <c r="AB13" i="5"/>
  <c r="C13" i="5"/>
  <c r="AB12" i="5"/>
  <c r="AB14" i="5" s="1"/>
  <c r="C12" i="5"/>
  <c r="AB11" i="5"/>
  <c r="C11" i="5"/>
  <c r="AB33" i="5"/>
  <c r="C33" i="5"/>
  <c r="AA29" i="6"/>
  <c r="P16" i="4"/>
  <c r="C16" i="4"/>
  <c r="P15" i="4"/>
  <c r="C15" i="4"/>
  <c r="P14" i="4"/>
  <c r="C14" i="4"/>
  <c r="P10" i="4"/>
  <c r="C10" i="4"/>
  <c r="P9" i="4"/>
  <c r="C9" i="4"/>
  <c r="AB19" i="3"/>
  <c r="C19" i="3"/>
  <c r="AB12" i="3"/>
  <c r="C12" i="3"/>
  <c r="AB11" i="3"/>
  <c r="C11" i="3"/>
  <c r="AB10" i="3"/>
  <c r="C10" i="3"/>
  <c r="AB9" i="3"/>
  <c r="C9" i="3"/>
  <c r="AB29" i="2"/>
  <c r="AB28" i="2"/>
  <c r="AB27" i="2"/>
  <c r="P31" i="4"/>
  <c r="AB38" i="3"/>
  <c r="C15" i="3"/>
  <c r="C40" i="3"/>
  <c r="AA51" i="6"/>
  <c r="Z29" i="6"/>
  <c r="P37" i="4"/>
  <c r="AB63" i="2"/>
  <c r="AB77" i="2" s="1"/>
  <c r="AB83" i="2" s="1"/>
  <c r="AB85" i="2" s="1"/>
  <c r="AB17" i="2"/>
  <c r="AB46" i="6"/>
  <c r="C46" i="6"/>
  <c r="AB51" i="6"/>
  <c r="AB39" i="6"/>
  <c r="C39" i="6"/>
  <c r="AB29" i="6"/>
  <c r="AB24" i="6"/>
  <c r="AB20" i="6"/>
  <c r="AB9" i="6"/>
  <c r="M18" i="4"/>
  <c r="M12" i="4"/>
  <c r="M37" i="4"/>
  <c r="M31" i="4"/>
  <c r="AA14" i="5"/>
  <c r="Z11" i="7"/>
  <c r="Z25" i="7"/>
  <c r="O37" i="4"/>
  <c r="O31" i="4"/>
  <c r="O18" i="4"/>
  <c r="O12" i="4"/>
  <c r="AA38" i="3"/>
  <c r="AA15" i="3"/>
  <c r="AA70" i="2"/>
  <c r="AA63" i="2"/>
  <c r="AA17" i="2"/>
  <c r="AA10" i="2"/>
  <c r="AA46" i="6"/>
  <c r="AA39" i="6"/>
  <c r="AA9" i="6"/>
  <c r="AA24" i="6"/>
  <c r="AA20" i="6"/>
  <c r="C26" i="7"/>
  <c r="Y25" i="7"/>
  <c r="Y11" i="7"/>
  <c r="Z14" i="5"/>
  <c r="C14" i="5"/>
  <c r="Z38" i="3"/>
  <c r="Z15" i="3"/>
  <c r="Z70" i="2"/>
  <c r="Z63" i="2"/>
  <c r="Z17" i="2"/>
  <c r="Z10" i="2"/>
  <c r="Z51" i="6"/>
  <c r="Z46" i="6"/>
  <c r="Y46" i="6"/>
  <c r="X46" i="6"/>
  <c r="Z39" i="6"/>
  <c r="Z24" i="6"/>
  <c r="Z17" i="6" s="1"/>
  <c r="Z20" i="6"/>
  <c r="X25" i="7"/>
  <c r="X11" i="7"/>
  <c r="Q37" i="5"/>
  <c r="R37" i="5"/>
  <c r="S33" i="5"/>
  <c r="S37" i="5" s="1"/>
  <c r="T33" i="5"/>
  <c r="T37" i="5" s="1"/>
  <c r="U33" i="5"/>
  <c r="U37" i="5" s="1"/>
  <c r="V33" i="5"/>
  <c r="V37" i="5" s="1"/>
  <c r="W33" i="5"/>
  <c r="W37" i="5" s="1"/>
  <c r="X33" i="5"/>
  <c r="X37" i="5" s="1"/>
  <c r="Y28" i="5" s="1"/>
  <c r="Y33" i="5"/>
  <c r="R14" i="5"/>
  <c r="S14" i="5"/>
  <c r="T14" i="5"/>
  <c r="U14" i="5"/>
  <c r="U18" i="5" s="1"/>
  <c r="V9" i="5" s="1"/>
  <c r="V14" i="5"/>
  <c r="W14" i="5"/>
  <c r="X14" i="5"/>
  <c r="Y14" i="5"/>
  <c r="Y38" i="3"/>
  <c r="Y15" i="3"/>
  <c r="Q70" i="2"/>
  <c r="R70" i="2"/>
  <c r="S70" i="2"/>
  <c r="S77" i="2" s="1"/>
  <c r="S83" i="2" s="1"/>
  <c r="S85" i="2" s="1"/>
  <c r="T70" i="2"/>
  <c r="T77" i="2" s="1"/>
  <c r="T83" i="2" s="1"/>
  <c r="T85" i="2" s="1"/>
  <c r="U70" i="2"/>
  <c r="V70" i="2"/>
  <c r="W70" i="2"/>
  <c r="X70" i="2"/>
  <c r="Q63" i="2"/>
  <c r="R63" i="2"/>
  <c r="S63" i="2"/>
  <c r="T63" i="2"/>
  <c r="U63" i="2"/>
  <c r="V63" i="2"/>
  <c r="W63" i="2"/>
  <c r="X63" i="2"/>
  <c r="Y70" i="2"/>
  <c r="Y63" i="2"/>
  <c r="I17" i="2"/>
  <c r="J17" i="2"/>
  <c r="J25" i="2" s="1"/>
  <c r="J31" i="2" s="1"/>
  <c r="J33" i="2" s="1"/>
  <c r="K17" i="2"/>
  <c r="L17" i="2"/>
  <c r="L25" i="2" s="1"/>
  <c r="L31" i="2" s="1"/>
  <c r="L33" i="2" s="1"/>
  <c r="M17" i="2"/>
  <c r="N17" i="2"/>
  <c r="O17" i="2"/>
  <c r="P17" i="2"/>
  <c r="Q17" i="2"/>
  <c r="Q25" i="2" s="1"/>
  <c r="Q31" i="2" s="1"/>
  <c r="Q33" i="2" s="1"/>
  <c r="R17" i="2"/>
  <c r="S17" i="2"/>
  <c r="T17" i="2"/>
  <c r="U17" i="2"/>
  <c r="V17" i="2"/>
  <c r="W17" i="2"/>
  <c r="I10" i="2"/>
  <c r="J10" i="2"/>
  <c r="K10" i="2"/>
  <c r="L10" i="2"/>
  <c r="M10" i="2"/>
  <c r="N10" i="2"/>
  <c r="O10" i="2"/>
  <c r="O25" i="2" s="1"/>
  <c r="O31" i="2" s="1"/>
  <c r="O33" i="2" s="1"/>
  <c r="P10" i="2"/>
  <c r="Q10" i="2"/>
  <c r="R10" i="2"/>
  <c r="S10" i="2"/>
  <c r="T10" i="2"/>
  <c r="U10" i="2"/>
  <c r="V10" i="2"/>
  <c r="W10" i="2"/>
  <c r="W25" i="2" s="1"/>
  <c r="W31" i="2" s="1"/>
  <c r="W33" i="2" s="1"/>
  <c r="X10" i="2"/>
  <c r="X17" i="2"/>
  <c r="X25" i="2" s="1"/>
  <c r="X31" i="2" s="1"/>
  <c r="X33" i="2" s="1"/>
  <c r="Y17" i="2"/>
  <c r="Y10" i="2"/>
  <c r="J24" i="6"/>
  <c r="K24" i="6"/>
  <c r="L24" i="6"/>
  <c r="M24" i="6"/>
  <c r="N24" i="6"/>
  <c r="N17" i="6" s="1"/>
  <c r="O24" i="6"/>
  <c r="P24" i="6"/>
  <c r="Q24" i="6"/>
  <c r="R24" i="6"/>
  <c r="S24" i="6"/>
  <c r="T24" i="6"/>
  <c r="U24" i="6"/>
  <c r="V24" i="6"/>
  <c r="W24" i="6"/>
  <c r="X24" i="6"/>
  <c r="Y24" i="6"/>
  <c r="I24" i="6"/>
  <c r="J20" i="6"/>
  <c r="J17" i="6" s="1"/>
  <c r="K20" i="6"/>
  <c r="L20" i="6"/>
  <c r="M20" i="6"/>
  <c r="M17" i="6" s="1"/>
  <c r="N20" i="6"/>
  <c r="O20" i="6"/>
  <c r="P20" i="6"/>
  <c r="Q20" i="6"/>
  <c r="R20" i="6"/>
  <c r="S20" i="6"/>
  <c r="S17" i="6" s="1"/>
  <c r="T20" i="6"/>
  <c r="U20" i="6"/>
  <c r="V20" i="6"/>
  <c r="V17" i="6" s="1"/>
  <c r="W20" i="6"/>
  <c r="W17" i="6" s="1"/>
  <c r="X20" i="6"/>
  <c r="Y20" i="6"/>
  <c r="Y17" i="6" s="1"/>
  <c r="I20" i="6"/>
  <c r="N12" i="4"/>
  <c r="N18" i="4"/>
  <c r="N31" i="4"/>
  <c r="N37" i="4"/>
  <c r="Y39" i="6"/>
  <c r="Y9" i="6"/>
  <c r="Y29" i="6"/>
  <c r="C17" i="3"/>
  <c r="C44" i="3"/>
  <c r="C21" i="3"/>
  <c r="C23" i="3"/>
  <c r="C28" i="5"/>
  <c r="W11" i="7"/>
  <c r="W25" i="7"/>
  <c r="X9" i="6"/>
  <c r="X29" i="6"/>
  <c r="X39" i="6"/>
  <c r="K12" i="4"/>
  <c r="L12" i="4"/>
  <c r="K18" i="4"/>
  <c r="L37" i="4"/>
  <c r="L18" i="4"/>
  <c r="J18" i="4"/>
  <c r="I18" i="4"/>
  <c r="J12" i="4"/>
  <c r="I12" i="4"/>
  <c r="C9" i="5"/>
  <c r="J37" i="4"/>
  <c r="K37" i="4"/>
  <c r="I37" i="4"/>
  <c r="J31" i="4"/>
  <c r="K31" i="4"/>
  <c r="I31" i="4"/>
  <c r="Q11" i="7"/>
  <c r="R11" i="7"/>
  <c r="S11" i="7"/>
  <c r="T11" i="7"/>
  <c r="U11" i="7"/>
  <c r="V11" i="7"/>
  <c r="Q25" i="7"/>
  <c r="Q27" i="7"/>
  <c r="R25" i="7"/>
  <c r="R27" i="7"/>
  <c r="S25" i="7"/>
  <c r="T25" i="7"/>
  <c r="V25" i="7"/>
  <c r="P25" i="7"/>
  <c r="P27" i="7" s="1"/>
  <c r="I11" i="7"/>
  <c r="I13" i="7" s="1"/>
  <c r="J11" i="7"/>
  <c r="J13" i="7" s="1"/>
  <c r="K11" i="7"/>
  <c r="L11" i="7"/>
  <c r="M11" i="7"/>
  <c r="N11" i="7"/>
  <c r="O11" i="7"/>
  <c r="P11" i="7"/>
  <c r="H11" i="7"/>
  <c r="H13" i="7"/>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Y37" i="5" l="1"/>
  <c r="Z28" i="5" s="1"/>
  <c r="Z37" i="5" s="1"/>
  <c r="AA28" i="5" s="1"/>
  <c r="AA37" i="5" s="1"/>
  <c r="AB28" i="5" s="1"/>
  <c r="AB37" i="5" s="1"/>
  <c r="AG14" i="5"/>
  <c r="E35" i="5"/>
  <c r="E30" i="5"/>
  <c r="E41" i="1"/>
  <c r="P21" i="1"/>
  <c r="C48" i="2"/>
  <c r="C53" i="2" s="1"/>
  <c r="C55" i="2" s="1"/>
  <c r="AI14" i="5"/>
  <c r="Z77" i="2"/>
  <c r="Z83" i="2" s="1"/>
  <c r="Z85" i="2" s="1"/>
  <c r="M25" i="2"/>
  <c r="M31" i="2" s="1"/>
  <c r="M33" i="2" s="1"/>
  <c r="AA77" i="2"/>
  <c r="AA83" i="2" s="1"/>
  <c r="AA85" i="2" s="1"/>
  <c r="P12" i="4"/>
  <c r="AC14" i="5"/>
  <c r="N21" i="1"/>
  <c r="N27" i="1" s="1"/>
  <c r="N39" i="1" s="1"/>
  <c r="N43" i="1" s="1"/>
  <c r="U12" i="4"/>
  <c r="E12" i="5"/>
  <c r="AH15" i="3"/>
  <c r="C13" i="1"/>
  <c r="E13" i="1" s="1"/>
  <c r="X18" i="4"/>
  <c r="C18" i="4" s="1"/>
  <c r="W12" i="4"/>
  <c r="AI10" i="2"/>
  <c r="W18" i="5"/>
  <c r="X9" i="5" s="1"/>
  <c r="X18" i="5" s="1"/>
  <c r="Y9" i="5" s="1"/>
  <c r="Y18" i="5" s="1"/>
  <c r="Z9" i="5" s="1"/>
  <c r="Z18" i="5" s="1"/>
  <c r="AA9" i="5" s="1"/>
  <c r="AA18" i="5" s="1"/>
  <c r="AB9" i="5" s="1"/>
  <c r="AB18" i="5" s="1"/>
  <c r="AC9" i="5" s="1"/>
  <c r="AC18" i="5" s="1"/>
  <c r="AD9" i="5" s="1"/>
  <c r="AD18" i="5" s="1"/>
  <c r="Q12" i="4"/>
  <c r="I21" i="1"/>
  <c r="V21" i="1"/>
  <c r="V29" i="1" s="1"/>
  <c r="K17" i="6"/>
  <c r="K25" i="2"/>
  <c r="K31" i="2" s="1"/>
  <c r="K33" i="2" s="1"/>
  <c r="O17" i="6"/>
  <c r="I25" i="2"/>
  <c r="I31" i="2" s="1"/>
  <c r="I33" i="2" s="1"/>
  <c r="W77" i="2"/>
  <c r="W83" i="2" s="1"/>
  <c r="W85" i="2" s="1"/>
  <c r="V18" i="5"/>
  <c r="W9" i="5" s="1"/>
  <c r="Q18" i="4"/>
  <c r="AJ17" i="6"/>
  <c r="V77" i="2"/>
  <c r="V83" i="2" s="1"/>
  <c r="V85" i="2" s="1"/>
  <c r="AE77" i="2"/>
  <c r="AE83" i="2" s="1"/>
  <c r="AE85" i="2" s="1"/>
  <c r="AG10" i="2"/>
  <c r="Y25" i="2"/>
  <c r="Y31" i="2" s="1"/>
  <c r="Y33" i="2" s="1"/>
  <c r="Z12" i="7" s="1"/>
  <c r="Z13" i="7" s="1"/>
  <c r="I17" i="6"/>
  <c r="U77" i="2"/>
  <c r="U83" i="2" s="1"/>
  <c r="U85" i="2" s="1"/>
  <c r="Z25" i="2"/>
  <c r="Z31" i="2" s="1"/>
  <c r="Z33" i="2" s="1"/>
  <c r="M21" i="1"/>
  <c r="M27" i="1" s="1"/>
  <c r="M39" i="1" s="1"/>
  <c r="M43" i="1" s="1"/>
  <c r="AD77" i="2"/>
  <c r="AD83" i="2" s="1"/>
  <c r="AD85" i="2" s="1"/>
  <c r="AI15" i="3"/>
  <c r="AI9" i="7"/>
  <c r="AE15" i="3"/>
  <c r="AD11" i="7"/>
  <c r="AH14" i="5"/>
  <c r="AJ10" i="2"/>
  <c r="AA11" i="7"/>
  <c r="AH11" i="7"/>
  <c r="W18" i="4"/>
  <c r="V12" i="4"/>
  <c r="P18" i="4"/>
  <c r="S12" i="4"/>
  <c r="V18" i="4"/>
  <c r="AJ15" i="3"/>
  <c r="D15" i="3" s="1"/>
  <c r="E15" i="3" s="1"/>
  <c r="AB15" i="3"/>
  <c r="C46" i="3"/>
  <c r="C70" i="2"/>
  <c r="E70" i="2" s="1"/>
  <c r="X77" i="2"/>
  <c r="X83" i="2" s="1"/>
  <c r="X85" i="2" s="1"/>
  <c r="X26" i="7" s="1"/>
  <c r="X27" i="7" s="1"/>
  <c r="E40" i="2"/>
  <c r="AH17" i="2"/>
  <c r="AH25" i="2" s="1"/>
  <c r="AH31" i="2" s="1"/>
  <c r="T25" i="2"/>
  <c r="T31" i="2" s="1"/>
  <c r="T33" i="2" s="1"/>
  <c r="AH77" i="2"/>
  <c r="AH83" i="2" s="1"/>
  <c r="S25" i="2"/>
  <c r="S31" i="2" s="1"/>
  <c r="S33" i="2" s="1"/>
  <c r="Y77" i="2"/>
  <c r="Y83" i="2" s="1"/>
  <c r="Y85" i="2" s="1"/>
  <c r="AG77" i="2"/>
  <c r="AG83" i="2" s="1"/>
  <c r="AG85" i="2" s="1"/>
  <c r="AG33" i="2" s="1"/>
  <c r="AJ77" i="2"/>
  <c r="AJ83" i="2" s="1"/>
  <c r="AJ85" i="2" s="1"/>
  <c r="AF17" i="2"/>
  <c r="AF25" i="2" s="1"/>
  <c r="AF31" i="2" s="1"/>
  <c r="AF33" i="2" s="1"/>
  <c r="AI25" i="2"/>
  <c r="AI31" i="2" s="1"/>
  <c r="P25" i="2"/>
  <c r="P31" i="2" s="1"/>
  <c r="P33" i="2" s="1"/>
  <c r="O12" i="7" s="1"/>
  <c r="O13" i="7" s="1"/>
  <c r="R77" i="2"/>
  <c r="R83" i="2" s="1"/>
  <c r="R85" i="2" s="1"/>
  <c r="T26" i="7" s="1"/>
  <c r="T27" i="7" s="1"/>
  <c r="U25" i="2"/>
  <c r="U31" i="2" s="1"/>
  <c r="U33" i="2" s="1"/>
  <c r="W12" i="7" s="1"/>
  <c r="W13" i="7" s="1"/>
  <c r="Q77" i="2"/>
  <c r="Q83" i="2" s="1"/>
  <c r="Q85" i="2" s="1"/>
  <c r="S26" i="7" s="1"/>
  <c r="S27" i="7" s="1"/>
  <c r="E36" i="3"/>
  <c r="AB10" i="2"/>
  <c r="AB25" i="2"/>
  <c r="R25" i="2"/>
  <c r="R31" i="2" s="1"/>
  <c r="R33" i="2" s="1"/>
  <c r="Q12" i="7" s="1"/>
  <c r="Q13" i="7" s="1"/>
  <c r="N25" i="2"/>
  <c r="N31" i="2" s="1"/>
  <c r="N33" i="2" s="1"/>
  <c r="AA25" i="2"/>
  <c r="AA31" i="2" s="1"/>
  <c r="AA33" i="2" s="1"/>
  <c r="AC10" i="2"/>
  <c r="U21" i="1"/>
  <c r="U27" i="1" s="1"/>
  <c r="U39" i="1" s="1"/>
  <c r="U43" i="1" s="1"/>
  <c r="P29" i="1"/>
  <c r="P27" i="1"/>
  <c r="P39" i="1" s="1"/>
  <c r="P43" i="1" s="1"/>
  <c r="I29" i="1"/>
  <c r="I27" i="1"/>
  <c r="I39" i="1" s="1"/>
  <c r="I43" i="1" s="1"/>
  <c r="R39" i="1"/>
  <c r="R43" i="1" s="1"/>
  <c r="S21" i="1"/>
  <c r="K21" i="1"/>
  <c r="W21" i="1"/>
  <c r="O27" i="1"/>
  <c r="O39" i="1" s="1"/>
  <c r="O43" i="1" s="1"/>
  <c r="E39" i="6"/>
  <c r="R17" i="6"/>
  <c r="L17" i="6"/>
  <c r="AG17" i="6"/>
  <c r="T17" i="6"/>
  <c r="Q17" i="6"/>
  <c r="AF17" i="6"/>
  <c r="X17" i="6"/>
  <c r="AI17" i="6"/>
  <c r="U17" i="6"/>
  <c r="P17" i="6"/>
  <c r="AA17" i="6"/>
  <c r="AB17" i="6"/>
  <c r="E31" i="5"/>
  <c r="E9" i="5"/>
  <c r="AG28" i="5"/>
  <c r="C37" i="5"/>
  <c r="E37" i="5" s="1"/>
  <c r="AJ14" i="5"/>
  <c r="D14" i="5" s="1"/>
  <c r="E14" i="5" s="1"/>
  <c r="E28" i="5"/>
  <c r="E11" i="5"/>
  <c r="E13" i="5"/>
  <c r="AB31" i="2"/>
  <c r="AB33" i="2" s="1"/>
  <c r="AJ17" i="2"/>
  <c r="AC17" i="2"/>
  <c r="AD26" i="7"/>
  <c r="AD27" i="7" s="1"/>
  <c r="AB26" i="7"/>
  <c r="AB27" i="7" s="1"/>
  <c r="U26" i="7"/>
  <c r="U27" i="7" s="1"/>
  <c r="E38" i="3"/>
  <c r="E42" i="3"/>
  <c r="E44" i="3"/>
  <c r="E35" i="3"/>
  <c r="P12" i="7"/>
  <c r="P13" i="7" s="1"/>
  <c r="V25" i="2"/>
  <c r="V31" i="2" s="1"/>
  <c r="V33" i="2" s="1"/>
  <c r="D23" i="7"/>
  <c r="C11" i="7"/>
  <c r="D10" i="7"/>
  <c r="E33" i="4"/>
  <c r="E31" i="4"/>
  <c r="E12" i="4"/>
  <c r="E16" i="4"/>
  <c r="E14" i="4"/>
  <c r="E18" i="4"/>
  <c r="E15" i="4"/>
  <c r="E9" i="4"/>
  <c r="E10" i="4"/>
  <c r="E37" i="4"/>
  <c r="E9" i="3"/>
  <c r="D47" i="3"/>
  <c r="AJ46" i="3"/>
  <c r="D11" i="3"/>
  <c r="E11" i="3" s="1"/>
  <c r="E44" i="2"/>
  <c r="D48" i="2"/>
  <c r="E48" i="2" s="1"/>
  <c r="E17" i="2"/>
  <c r="E66" i="2"/>
  <c r="D25" i="7"/>
  <c r="D24" i="7"/>
  <c r="AG17" i="2"/>
  <c r="AG25" i="2" s="1"/>
  <c r="AG31" i="2" s="1"/>
  <c r="E79" i="2"/>
  <c r="E80" i="2"/>
  <c r="E71" i="2"/>
  <c r="E10" i="3"/>
  <c r="E65" i="2"/>
  <c r="E75" i="2"/>
  <c r="E33" i="3"/>
  <c r="E12" i="3"/>
  <c r="E63" i="2"/>
  <c r="E17" i="3"/>
  <c r="E68" i="2"/>
  <c r="E73" i="2"/>
  <c r="E64" i="2"/>
  <c r="E13" i="3"/>
  <c r="E81" i="2"/>
  <c r="E34" i="3"/>
  <c r="L12" i="7"/>
  <c r="L13" i="7" s="1"/>
  <c r="AC26" i="7"/>
  <c r="AC27" i="7" s="1"/>
  <c r="N12" i="7"/>
  <c r="N13" i="7" s="1"/>
  <c r="M12" i="7"/>
  <c r="M13" i="7" s="1"/>
  <c r="K12" i="7"/>
  <c r="K13" i="7" s="1"/>
  <c r="W26" i="7"/>
  <c r="W27" i="7" s="1"/>
  <c r="E25" i="2"/>
  <c r="D31" i="2"/>
  <c r="V26" i="7"/>
  <c r="V27" i="7" s="1"/>
  <c r="D83" i="2"/>
  <c r="AF77" i="2"/>
  <c r="E31" i="1"/>
  <c r="E25" i="1"/>
  <c r="E10" i="1"/>
  <c r="E9" i="1"/>
  <c r="E18" i="1"/>
  <c r="E24" i="1"/>
  <c r="E14" i="1"/>
  <c r="E32" i="1"/>
  <c r="E37" i="1"/>
  <c r="E15" i="1"/>
  <c r="E16" i="1"/>
  <c r="E34" i="1"/>
  <c r="W29" i="1"/>
  <c r="W27" i="1"/>
  <c r="W39" i="1" s="1"/>
  <c r="W43" i="1" s="1"/>
  <c r="Q27" i="1"/>
  <c r="Q39" i="1" s="1"/>
  <c r="Q43" i="1" s="1"/>
  <c r="Q29" i="1"/>
  <c r="U29" i="1"/>
  <c r="T27" i="1"/>
  <c r="T29" i="1"/>
  <c r="S29" i="1"/>
  <c r="S27" i="1"/>
  <c r="S39" i="1" s="1"/>
  <c r="S43" i="1" s="1"/>
  <c r="K29" i="1"/>
  <c r="K27" i="1"/>
  <c r="K39" i="1" s="1"/>
  <c r="K43" i="1" s="1"/>
  <c r="D21" i="1"/>
  <c r="X29" i="1"/>
  <c r="D29" i="1" s="1"/>
  <c r="X27" i="1"/>
  <c r="L27" i="1"/>
  <c r="L39" i="1" s="1"/>
  <c r="L43" i="1" s="1"/>
  <c r="L29" i="1"/>
  <c r="J27" i="1"/>
  <c r="J39" i="1" s="1"/>
  <c r="J43" i="1" s="1"/>
  <c r="E17" i="1"/>
  <c r="M29" i="1"/>
  <c r="R29" i="1"/>
  <c r="E35" i="1"/>
  <c r="E19" i="1"/>
  <c r="E23" i="1"/>
  <c r="E11" i="1"/>
  <c r="E44" i="6"/>
  <c r="E41" i="6"/>
  <c r="E48" i="6"/>
  <c r="E49" i="6"/>
  <c r="E46" i="6"/>
  <c r="C9" i="6"/>
  <c r="D9" i="6"/>
  <c r="A10" i="6"/>
  <c r="A11" i="6" s="1"/>
  <c r="C11" i="6" s="1"/>
  <c r="Y12" i="7" l="1"/>
  <c r="Y13" i="7" s="1"/>
  <c r="N29" i="1"/>
  <c r="V27" i="1"/>
  <c r="V39" i="1" s="1"/>
  <c r="V43" i="1" s="1"/>
  <c r="AJ25" i="2"/>
  <c r="AJ31" i="2" s="1"/>
  <c r="AJ33" i="2" s="1"/>
  <c r="AJ12" i="7" s="1"/>
  <c r="AJ13" i="7" s="1"/>
  <c r="U12" i="7"/>
  <c r="U13" i="7" s="1"/>
  <c r="D85" i="2"/>
  <c r="AK26" i="7"/>
  <c r="AK27" i="7" s="1"/>
  <c r="AI11" i="7"/>
  <c r="B9" i="7"/>
  <c r="D9" i="7" s="1"/>
  <c r="C21" i="1"/>
  <c r="E21" i="1" s="1"/>
  <c r="S12" i="7"/>
  <c r="S13" i="7" s="1"/>
  <c r="Z26" i="7"/>
  <c r="Z27" i="7" s="1"/>
  <c r="AJ18" i="5"/>
  <c r="AK9" i="5" s="1"/>
  <c r="AK18" i="5" s="1"/>
  <c r="C29" i="1"/>
  <c r="X12" i="7"/>
  <c r="X13" i="7" s="1"/>
  <c r="AA12" i="7"/>
  <c r="AA13" i="7" s="1"/>
  <c r="V12" i="7"/>
  <c r="V13" i="7" s="1"/>
  <c r="T12" i="7"/>
  <c r="T13" i="7" s="1"/>
  <c r="Y26" i="7"/>
  <c r="Y27" i="7" s="1"/>
  <c r="R12" i="7"/>
  <c r="R13" i="7" s="1"/>
  <c r="AC25" i="2"/>
  <c r="AC31" i="2" s="1"/>
  <c r="AC33" i="2" s="1"/>
  <c r="D18" i="5"/>
  <c r="E18" i="5" s="1"/>
  <c r="AG9" i="5"/>
  <c r="AG18" i="5" s="1"/>
  <c r="AH9" i="5" s="1"/>
  <c r="AH18" i="5" s="1"/>
  <c r="AI9" i="5" s="1"/>
  <c r="AI18" i="5" s="1"/>
  <c r="AG37" i="5"/>
  <c r="AH28" i="5" s="1"/>
  <c r="AH37" i="5" s="1"/>
  <c r="AI28" i="5" s="1"/>
  <c r="AI37" i="5" s="1"/>
  <c r="C13" i="7"/>
  <c r="C12" i="7"/>
  <c r="D53" i="2"/>
  <c r="AJ23" i="3"/>
  <c r="D23" i="3" s="1"/>
  <c r="D46" i="3"/>
  <c r="AG12" i="7"/>
  <c r="AH12" i="7"/>
  <c r="AH13" i="7" s="1"/>
  <c r="B12" i="7"/>
  <c r="AF12" i="7"/>
  <c r="AF13" i="7" s="1"/>
  <c r="D55" i="2"/>
  <c r="E55" i="2" s="1"/>
  <c r="E53" i="2"/>
  <c r="D33" i="2"/>
  <c r="E33" i="2" s="1"/>
  <c r="E31" i="2"/>
  <c r="C77" i="2"/>
  <c r="E77" i="2" s="1"/>
  <c r="AF83" i="2"/>
  <c r="AB40" i="3"/>
  <c r="T39" i="1"/>
  <c r="C27" i="1"/>
  <c r="X39" i="1"/>
  <c r="D27" i="1"/>
  <c r="E29" i="1"/>
  <c r="A12" i="6"/>
  <c r="D11" i="6"/>
  <c r="E9" i="6"/>
  <c r="B11" i="7" l="1"/>
  <c r="D11" i="7" s="1"/>
  <c r="AI13" i="7"/>
  <c r="AE12" i="7"/>
  <c r="AE13" i="7" s="1"/>
  <c r="B13" i="7" s="1"/>
  <c r="D13" i="7" s="1"/>
  <c r="AB12" i="7"/>
  <c r="AB13" i="7" s="1"/>
  <c r="AD12" i="7"/>
  <c r="AD13" i="7" s="1"/>
  <c r="AC12" i="7"/>
  <c r="AC13" i="7" s="1"/>
  <c r="D12" i="7"/>
  <c r="AF85" i="2"/>
  <c r="C83" i="2"/>
  <c r="E83" i="2" s="1"/>
  <c r="AB44" i="3"/>
  <c r="AB46" i="3" s="1"/>
  <c r="AB17" i="3"/>
  <c r="AB21" i="3" s="1"/>
  <c r="E27" i="1"/>
  <c r="X43" i="1"/>
  <c r="D43" i="1" s="1"/>
  <c r="D39" i="1"/>
  <c r="C39" i="1"/>
  <c r="T43" i="1"/>
  <c r="C43" i="1" s="1"/>
  <c r="E11" i="6"/>
  <c r="A13" i="6"/>
  <c r="D12" i="6"/>
  <c r="C12" i="6"/>
  <c r="E39" i="1" l="1"/>
  <c r="C85" i="2"/>
  <c r="E85" i="2" s="1"/>
  <c r="AH26" i="7"/>
  <c r="AH27" i="7" s="1"/>
  <c r="AE26" i="7"/>
  <c r="AG26" i="7"/>
  <c r="AG27" i="7" s="1"/>
  <c r="E12" i="6"/>
  <c r="A14" i="6"/>
  <c r="C13" i="6"/>
  <c r="D13" i="6"/>
  <c r="E13" i="6" l="1"/>
  <c r="AE27" i="7"/>
  <c r="B27" i="7" s="1"/>
  <c r="D27" i="7" s="1"/>
  <c r="B26" i="7"/>
  <c r="D26" i="7" s="1"/>
  <c r="A15" i="6"/>
  <c r="D14" i="6"/>
  <c r="C14" i="6"/>
  <c r="A16" i="6" l="1"/>
  <c r="A17" i="6" s="1"/>
  <c r="D15" i="6"/>
  <c r="C15" i="6"/>
  <c r="E15" i="6" l="1"/>
  <c r="C17" i="6"/>
  <c r="A18" i="6"/>
  <c r="A19" i="6" s="1"/>
  <c r="D17" i="6"/>
  <c r="E17" i="6" l="1"/>
  <c r="A20" i="6"/>
  <c r="D19" i="6"/>
  <c r="C19" i="6"/>
  <c r="E19" i="6" l="1"/>
  <c r="D20" i="6"/>
  <c r="C20" i="6"/>
  <c r="A21" i="6"/>
  <c r="A22" i="6" l="1"/>
  <c r="D21" i="6"/>
  <c r="C21" i="6"/>
  <c r="E20" i="6"/>
  <c r="E21" i="6" l="1"/>
  <c r="C22" i="6"/>
  <c r="D22" i="6"/>
  <c r="A23" i="6"/>
  <c r="E22" i="6" l="1"/>
  <c r="A24" i="6"/>
  <c r="D23" i="6"/>
  <c r="C23" i="6"/>
  <c r="E23" i="6" l="1"/>
  <c r="A25" i="6"/>
  <c r="C24" i="6"/>
  <c r="D24" i="6"/>
  <c r="E24" i="6" l="1"/>
  <c r="C25" i="6"/>
  <c r="A26" i="6"/>
  <c r="D25" i="6"/>
  <c r="E25" i="6" l="1"/>
  <c r="C26" i="6"/>
  <c r="A27" i="6"/>
  <c r="D26" i="6"/>
  <c r="E26" i="6" l="1"/>
  <c r="C27" i="6"/>
  <c r="D27" i="6"/>
  <c r="A28" i="6"/>
  <c r="C28" i="6" l="1"/>
  <c r="A29" i="6"/>
  <c r="D29" i="6" l="1"/>
  <c r="C29" i="6"/>
  <c r="AK17" i="2" l="1"/>
  <c r="AK25" i="2" s="1"/>
  <c r="AK31" i="2" s="1"/>
</calcChain>
</file>

<file path=xl/sharedStrings.xml><?xml version="1.0" encoding="utf-8"?>
<sst xmlns="http://schemas.openxmlformats.org/spreadsheetml/2006/main" count="824" uniqueCount="145">
  <si>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</si>
  <si>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</si>
  <si>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</si>
  <si>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</si>
  <si>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</si>
  <si>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</si>
  <si>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</si>
  <si>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</si>
  <si>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</si>
  <si>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</si>
  <si>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</si>
  <si>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</si>
  <si>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</si>
  <si>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</si>
  <si>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</si>
  <si>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</si>
  <si>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</si>
  <si>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</si>
  <si>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</si>
  <si>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</si>
  <si>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</si>
  <si>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</si>
  <si>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</si>
  <si>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</si>
  <si>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</si>
  <si>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</si>
  <si>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</si>
  <si>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</si>
  <si>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</si>
  <si>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</si>
  <si>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</si>
  <si>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</si>
  <si>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</si>
  <si>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</si>
  <si>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</si>
  <si>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</si>
  <si>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</si>
  <si>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</si>
  <si>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</si>
  <si>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</si>
  <si>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REVS</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</si>
  <si>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</si>
  <si>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</si>
  <si>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</si>
  <si>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</si>
  <si>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</si>
  <si>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</si>
  <si>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</si>
  <si>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</si>
  <si>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</si>
  <si>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</si>
  <si>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</si>
  <si>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</si>
  <si>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</si>
  <si>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</si>
  <si>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</si>
  <si>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</si>
  <si>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</si>
  <si>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</si>
  <si>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</si>
  <si>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</si>
  <si>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</si>
  <si>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</si>
  <si>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</si>
  <si>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</si>
  <si>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</si>
  <si>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</si>
  <si>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</si>
  <si>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</si>
  <si>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</si>
  <si>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</si>
  <si>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</si>
  <si>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</si>
  <si>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</si>
  <si>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</si>
  <si>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</si>
  <si>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</si>
  <si>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</si>
  <si>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</si>
  <si>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</si>
  <si>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CHILE GX</t>
  </si>
  <si>
    <t>CHILE (GX + TX)</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</si>
  <si>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</si>
  <si>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</si>
  <si>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</si>
  <si>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</si>
  <si>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</si>
  <si>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</si>
  <si>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</si>
  <si>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</si>
  <si>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</si>
  <si>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</si>
  <si>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</si>
  <si>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CHILE TX</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</si>
  <si>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</si>
  <si>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</si>
  <si>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</si>
  <si>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</si>
  <si>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</si>
  <si>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</si>
  <si>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</si>
  <si>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</si>
  <si>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</si>
  <si>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</si>
  <si>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</si>
  <si>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</si>
  <si>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</si>
  <si>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</si>
  <si>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</si>
  <si>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</si>
  <si>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</si>
  <si>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</si>
  <si>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</si>
  <si>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</si>
  <si>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</si>
  <si>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</si>
  <si>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</si>
  <si>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</si>
  <si>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</si>
  <si>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</si>
  <si>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</si>
  <si>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</si>
  <si>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</si>
  <si>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</si>
  <si>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</si>
  <si>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</si>
  <si>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</si>
  <si>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</si>
  <si>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</si>
  <si>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</si>
  <si>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</si>
  <si>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</si>
  <si>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</si>
  <si>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</si>
  <si>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</si>
  <si>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</si>
  <si>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</si>
  <si>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</si>
  <si>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</si>
  <si>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</si>
  <si>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 Corresponds to the energy purchased from the Punta Palmeras wind farm owned by Acciona and San Pedro, owned by Alba S.A.</t>
  </si>
  <si>
    <t>4Q20</t>
  </si>
  <si>
    <t xml:space="preserve">4Q19 </t>
  </si>
  <si>
    <t>1Q21</t>
  </si>
  <si>
    <t>2Q21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</si>
</sst>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 #,##0_ ;_ * \-#,##0_ ;_ * &quot;-&quot;_ ;_ @_ "/>
    <numFmt numFmtId="165" formatCode="_ * #,##0.00_ ;_ * \-#,##0.00_ ;_ * &quot;-&quot;??_ ;_ @_ "/>
    <numFmt numFmtId="166" formatCode="_(* #,##0.00_);_(* \(#,##0.00\);_(* &quot;-&quot;??_);_(@_)"/>
    <numFmt numFmtId="167" formatCode="0.0"/>
    <numFmt numFmtId="168" formatCode="_(* #,##0.0_);_(* \(#,##0.0\);_(* &quot;-&quot;??_);_(@_)"/>
    <numFmt numFmtId="169" formatCode="_ * #,##0.0_ ;_ * \-#,##0.0_ ;_ * &quot;-&quot;_ ;_ @_ "/>
    <numFmt numFmtId="170" formatCode="_(* #,##0_);_(* \(#,##0\);_(* &quot;-&quot;??_);_(@_)"/>
    <numFmt numFmtId="171" formatCode="0%_);\(0%\)"/>
    <numFmt numFmtId="172" formatCode="0.000"/>
    <numFmt numFmtId="173" formatCode="_ * #,##0.0_ ;_ * \-#,##0.0_ ;_ * &quot;-&quot;?_ ;_ @_ "/>
    <numFmt numFmtId="174" formatCode="\-"/>
    <numFmt numFmtId="175" formatCode="_-[$€-2]\ * #,##0.00_-;\-[$€-2]\ * #,##0.00_-;_-[$€-2]\ * &quot;-&quot;??_-"/>
    <numFmt numFmtId="176" formatCode="#,##0.0"/>
    <numFmt numFmtId="177" formatCode="_-* #,##0.0_-;\-* #,##0.0_-;_-* &quot;-&quot;?_-;_-@_-"/>
    <numFmt numFmtId="178" formatCode="_-* #,##0_-;\-* #,##0_-;_-* &quot;-&quot;??_-;_-@_-"/>
    <numFmt numFmtId="179" formatCode="_ * #,##0.00_ ;_ * \-#,##0.00_ ;_ * &quot;-&quot;?_ ;_ @_ "/>
  </numFmts>
  <fonts count="15"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3">
    <xf numFmtId="0" fontId="0"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43" fontId="8" fillId="0" borderId="0" applyFont="0" applyFill="0" applyBorder="0" applyAlignment="0" applyProtection="0"/>
    <xf numFmtId="43" fontId="1" fillId="0" borderId="0" applyFont="0" applyFill="0" applyBorder="0" applyAlignment="0" applyProtection="0"/>
    <xf numFmtId="170" fontId="7" fillId="0" borderId="0" applyFont="0" applyFill="0" applyBorder="0" applyAlignment="0" applyProtection="0"/>
    <xf numFmtId="0" fontId="8" fillId="0" borderId="0"/>
    <xf numFmtId="43" fontId="8" fillId="0" borderId="0" applyFont="0" applyFill="0" applyBorder="0" applyAlignment="0" applyProtection="0"/>
    <xf numFmtId="166" fontId="1" fillId="0" borderId="0" applyFont="0" applyFill="0" applyBorder="0" applyAlignment="0" applyProtection="0"/>
    <xf numFmtId="0" fontId="8" fillId="0" borderId="0"/>
    <xf numFmtId="175"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43" fontId="8" fillId="0" borderId="0" applyFont="0" applyFill="0" applyBorder="0" applyAlignment="0" applyProtection="0"/>
  </cellStyleXfs>
  <cellXfs count="107">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7" fontId="2" fillId="2" borderId="0" xfId="0" applyNumberFormat="1" applyFont="1" applyFill="1"/>
    <xf numFmtId="168" fontId="2" fillId="2" borderId="0" xfId="0" applyNumberFormat="1" applyFont="1" applyFill="1" applyBorder="1" applyAlignment="1">
      <alignment horizontal="right" vertical="center"/>
    </xf>
    <xf numFmtId="168" fontId="4" fillId="5" borderId="0" xfId="0" applyNumberFormat="1" applyFont="1" applyFill="1"/>
    <xf numFmtId="167"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9" fontId="2" fillId="2" borderId="0" xfId="1" applyNumberFormat="1" applyFont="1" applyFill="1"/>
    <xf numFmtId="169" fontId="2" fillId="3" borderId="0" xfId="1" applyNumberFormat="1" applyFont="1" applyFill="1"/>
    <xf numFmtId="169" fontId="4" fillId="5" borderId="0" xfId="1" applyNumberFormat="1" applyFont="1" applyFill="1"/>
    <xf numFmtId="168" fontId="4" fillId="4" borderId="0" xfId="0" applyNumberFormat="1" applyFont="1" applyFill="1"/>
    <xf numFmtId="167" fontId="2" fillId="2" borderId="0" xfId="1" applyNumberFormat="1" applyFont="1" applyFill="1" applyBorder="1" applyAlignment="1">
      <alignment horizontal="right" vertical="center"/>
    </xf>
    <xf numFmtId="167" fontId="4" fillId="5" borderId="0" xfId="1" applyNumberFormat="1" applyFont="1" applyFill="1"/>
    <xf numFmtId="0" fontId="6" fillId="7" borderId="0" xfId="0" applyFont="1" applyFill="1"/>
    <xf numFmtId="168" fontId="6" fillId="7" borderId="0" xfId="0" applyNumberFormat="1" applyFont="1" applyFill="1" applyBorder="1" applyAlignment="1">
      <alignment horizontal="right" vertical="center"/>
    </xf>
    <xf numFmtId="167" fontId="2" fillId="3" borderId="0" xfId="1" applyNumberFormat="1" applyFont="1" applyFill="1"/>
    <xf numFmtId="167" fontId="6" fillId="7" borderId="0" xfId="1" applyNumberFormat="1" applyFont="1" applyFill="1" applyBorder="1" applyAlignment="1">
      <alignment horizontal="right" vertical="center"/>
    </xf>
    <xf numFmtId="170" fontId="4" fillId="5" borderId="0" xfId="0" applyNumberFormat="1" applyFont="1" applyFill="1"/>
    <xf numFmtId="170" fontId="2" fillId="2" borderId="0" xfId="0" applyNumberFormat="1" applyFont="1" applyFill="1" applyBorder="1" applyAlignment="1">
      <alignment horizontal="right" vertical="center"/>
    </xf>
    <xf numFmtId="170" fontId="2" fillId="3" borderId="0" xfId="0" applyNumberFormat="1" applyFont="1" applyFill="1"/>
    <xf numFmtId="170" fontId="6" fillId="7" borderId="0" xfId="0" applyNumberFormat="1" applyFont="1" applyFill="1" applyBorder="1" applyAlignment="1">
      <alignment horizontal="right" vertical="center"/>
    </xf>
    <xf numFmtId="0" fontId="6" fillId="2" borderId="0" xfId="0" applyFont="1" applyFill="1"/>
    <xf numFmtId="170"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7" fontId="4" fillId="5" borderId="0" xfId="0" applyNumberFormat="1" applyFont="1" applyFill="1"/>
    <xf numFmtId="167" fontId="2" fillId="3" borderId="0" xfId="0" applyNumberFormat="1" applyFont="1" applyFill="1"/>
    <xf numFmtId="167" fontId="2" fillId="2" borderId="0" xfId="0" applyNumberFormat="1" applyFont="1" applyFill="1" applyBorder="1" applyAlignment="1">
      <alignment horizontal="right" vertical="center"/>
    </xf>
    <xf numFmtId="167" fontId="6" fillId="7" borderId="0" xfId="0" applyNumberFormat="1" applyFont="1" applyFill="1" applyBorder="1" applyAlignment="1">
      <alignment horizontal="right" vertical="center"/>
    </xf>
    <xf numFmtId="171" fontId="2" fillId="2" borderId="0" xfId="2" applyNumberFormat="1" applyFont="1" applyFill="1"/>
    <xf numFmtId="171" fontId="2" fillId="2" borderId="0" xfId="2" applyNumberFormat="1" applyFont="1" applyFill="1" applyBorder="1" applyAlignment="1">
      <alignment horizontal="right" vertical="center"/>
    </xf>
    <xf numFmtId="171" fontId="4" fillId="5" borderId="0" xfId="2" applyNumberFormat="1" applyFont="1" applyFill="1"/>
    <xf numFmtId="171" fontId="2" fillId="3" borderId="0" xfId="0" applyNumberFormat="1" applyFont="1" applyFill="1"/>
    <xf numFmtId="171" fontId="2" fillId="3" borderId="0" xfId="2" applyNumberFormat="1" applyFont="1" applyFill="1"/>
    <xf numFmtId="0" fontId="4" fillId="3" borderId="0" xfId="0" applyFont="1" applyFill="1" applyAlignment="1">
      <alignment horizontal="left"/>
    </xf>
    <xf numFmtId="168" fontId="4" fillId="3" borderId="0" xfId="0" applyNumberFormat="1" applyFont="1" applyFill="1"/>
    <xf numFmtId="171" fontId="4" fillId="3" borderId="0" xfId="2" applyNumberFormat="1" applyFont="1" applyFill="1"/>
    <xf numFmtId="168" fontId="2" fillId="2" borderId="0" xfId="0" applyNumberFormat="1" applyFont="1" applyFill="1"/>
    <xf numFmtId="167" fontId="4" fillId="3" borderId="0" xfId="0" applyNumberFormat="1" applyFont="1" applyFill="1"/>
    <xf numFmtId="171" fontId="2" fillId="2" borderId="0" xfId="0" applyNumberFormat="1" applyFont="1" applyFill="1" applyBorder="1" applyAlignment="1">
      <alignment horizontal="right" vertical="center"/>
    </xf>
    <xf numFmtId="0" fontId="9" fillId="3" borderId="0" xfId="0" applyFont="1" applyFill="1"/>
    <xf numFmtId="165" fontId="2" fillId="3" borderId="0" xfId="0" applyNumberFormat="1" applyFont="1" applyFill="1"/>
    <xf numFmtId="171" fontId="2" fillId="2" borderId="0" xfId="2" applyNumberFormat="1" applyFont="1" applyFill="1" applyAlignment="1">
      <alignment horizontal="right"/>
    </xf>
    <xf numFmtId="168" fontId="4" fillId="4" borderId="0" xfId="0" applyNumberFormat="1" applyFont="1" applyFill="1" applyBorder="1" applyAlignment="1">
      <alignment horizontal="right" vertical="center"/>
    </xf>
    <xf numFmtId="171" fontId="4" fillId="4" borderId="0" xfId="2" applyNumberFormat="1" applyFont="1" applyFill="1" applyAlignment="1">
      <alignment horizontal="right"/>
    </xf>
    <xf numFmtId="172" fontId="2" fillId="3" borderId="0" xfId="0" applyNumberFormat="1" applyFont="1" applyFill="1"/>
    <xf numFmtId="168" fontId="2" fillId="3" borderId="0" xfId="0" applyNumberFormat="1" applyFont="1" applyFill="1"/>
    <xf numFmtId="173" fontId="2" fillId="3" borderId="0" xfId="0" applyNumberFormat="1" applyFont="1" applyFill="1"/>
    <xf numFmtId="9" fontId="2" fillId="3" borderId="0" xfId="2" applyFont="1" applyFill="1"/>
    <xf numFmtId="171" fontId="6" fillId="7" borderId="0" xfId="2" applyNumberFormat="1" applyFont="1" applyFill="1" applyAlignment="1">
      <alignment horizontal="right"/>
    </xf>
    <xf numFmtId="164" fontId="2" fillId="2" borderId="0" xfId="1" applyFont="1" applyFill="1" applyAlignment="1">
      <alignment horizontal="right"/>
    </xf>
    <xf numFmtId="164"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70" fontId="4" fillId="5" borderId="0" xfId="0" applyNumberFormat="1" applyFont="1" applyFill="1" applyAlignment="1">
      <alignment horizontal="center"/>
    </xf>
    <xf numFmtId="171" fontId="4" fillId="5" borderId="0" xfId="2" applyNumberFormat="1" applyFont="1" applyFill="1" applyAlignment="1">
      <alignment horizontal="center"/>
    </xf>
    <xf numFmtId="170" fontId="2" fillId="2" borderId="0" xfId="0" applyNumberFormat="1" applyFont="1" applyFill="1" applyBorder="1" applyAlignment="1">
      <alignment horizontal="center" vertical="center"/>
    </xf>
    <xf numFmtId="171" fontId="2" fillId="2" borderId="0" xfId="2" applyNumberFormat="1" applyFont="1" applyFill="1" applyAlignment="1">
      <alignment horizontal="center"/>
    </xf>
    <xf numFmtId="9" fontId="2" fillId="2" borderId="0" xfId="2" applyFont="1" applyFill="1" applyBorder="1" applyAlignment="1">
      <alignment horizontal="center" vertical="center"/>
    </xf>
    <xf numFmtId="170" fontId="6" fillId="2" borderId="0" xfId="0" applyNumberFormat="1" applyFont="1" applyFill="1" applyBorder="1" applyAlignment="1">
      <alignment horizontal="center" vertical="center"/>
    </xf>
    <xf numFmtId="170" fontId="2" fillId="3" borderId="0" xfId="0" applyNumberFormat="1" applyFont="1" applyFill="1" applyAlignment="1">
      <alignment horizontal="center"/>
    </xf>
    <xf numFmtId="171" fontId="6" fillId="2" borderId="0" xfId="2" applyNumberFormat="1" applyFont="1" applyFill="1" applyAlignment="1">
      <alignment horizontal="center"/>
    </xf>
    <xf numFmtId="170" fontId="6" fillId="7" borderId="0" xfId="0" applyNumberFormat="1" applyFont="1" applyFill="1" applyBorder="1" applyAlignment="1">
      <alignment horizontal="center" vertical="center"/>
    </xf>
    <xf numFmtId="171"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4" fontId="2" fillId="2" borderId="0" xfId="0" applyNumberFormat="1" applyFont="1" applyFill="1"/>
    <xf numFmtId="0" fontId="4" fillId="4" borderId="0" xfId="0" applyFont="1" applyFill="1" applyAlignment="1">
      <alignment horizontal="center" vertical="center"/>
    </xf>
    <xf numFmtId="170" fontId="2" fillId="6" borderId="0" xfId="9" applyNumberFormat="1" applyFont="1" applyFill="1" applyAlignment="1">
      <alignment horizontal="center" vertical="center"/>
    </xf>
    <xf numFmtId="170" fontId="2" fillId="3" borderId="0" xfId="9" applyNumberFormat="1" applyFont="1" applyFill="1" applyAlignment="1">
      <alignment horizontal="center" vertical="center"/>
    </xf>
    <xf numFmtId="170" fontId="4" fillId="5" borderId="0" xfId="9" applyNumberFormat="1" applyFont="1" applyFill="1" applyAlignment="1">
      <alignment horizontal="center" vertical="center"/>
    </xf>
    <xf numFmtId="170" fontId="2" fillId="2" borderId="0" xfId="9" applyNumberFormat="1" applyFont="1" applyFill="1" applyBorder="1" applyAlignment="1">
      <alignment horizontal="center" vertical="center"/>
    </xf>
    <xf numFmtId="170" fontId="6" fillId="2" borderId="0" xfId="9" applyNumberFormat="1" applyFont="1" applyFill="1" applyBorder="1" applyAlignment="1">
      <alignment horizontal="center" vertical="center"/>
    </xf>
    <xf numFmtId="170" fontId="6" fillId="7" borderId="0" xfId="9" applyNumberFormat="1" applyFont="1" applyFill="1" applyBorder="1" applyAlignment="1">
      <alignment horizontal="center" vertical="center"/>
    </xf>
    <xf numFmtId="171" fontId="2" fillId="2" borderId="0" xfId="2" applyNumberFormat="1" applyFont="1" applyFill="1" applyAlignment="1">
      <alignment horizontal="right" vertical="center"/>
    </xf>
    <xf numFmtId="168" fontId="2" fillId="3" borderId="0" xfId="9" applyNumberFormat="1" applyFont="1" applyFill="1"/>
    <xf numFmtId="176" fontId="2" fillId="2" borderId="0" xfId="0" applyNumberFormat="1" applyFont="1" applyFill="1"/>
    <xf numFmtId="167" fontId="2" fillId="2" borderId="0" xfId="0" applyNumberFormat="1" applyFont="1" applyFill="1" applyAlignment="1">
      <alignment horizontal="right"/>
    </xf>
    <xf numFmtId="168" fontId="2" fillId="2" borderId="0" xfId="0" applyNumberFormat="1" applyFont="1" applyFill="1" applyAlignment="1">
      <alignment horizontal="right"/>
    </xf>
    <xf numFmtId="9" fontId="6" fillId="2" borderId="0" xfId="2" applyFont="1" applyFill="1" applyAlignment="1">
      <alignment horizontal="center"/>
    </xf>
    <xf numFmtId="171" fontId="4" fillId="4" borderId="0" xfId="2" applyNumberFormat="1" applyFont="1" applyFill="1" applyAlignment="1">
      <alignment horizontal="center"/>
    </xf>
    <xf numFmtId="171" fontId="2" fillId="3" borderId="0" xfId="0" applyNumberFormat="1" applyFont="1" applyFill="1" applyAlignment="1">
      <alignment horizontal="center"/>
    </xf>
    <xf numFmtId="177" fontId="2" fillId="3" borderId="0" xfId="0" applyNumberFormat="1" applyFont="1" applyFill="1"/>
    <xf numFmtId="168" fontId="2" fillId="0" borderId="0" xfId="0" applyNumberFormat="1" applyFont="1" applyFill="1" applyBorder="1" applyAlignment="1">
      <alignment horizontal="right" vertical="center"/>
    </xf>
    <xf numFmtId="43" fontId="2" fillId="3" borderId="0" xfId="0" applyNumberFormat="1" applyFont="1" applyFill="1"/>
    <xf numFmtId="9" fontId="2" fillId="3" borderId="0" xfId="2" applyNumberFormat="1" applyFont="1" applyFill="1"/>
    <xf numFmtId="168" fontId="2" fillId="3" borderId="0" xfId="2" applyNumberFormat="1" applyFont="1" applyFill="1"/>
    <xf numFmtId="9" fontId="2" fillId="2" borderId="0" xfId="2" applyFont="1" applyFill="1"/>
    <xf numFmtId="171" fontId="4" fillId="5" borderId="0" xfId="2" applyNumberFormat="1" applyFont="1" applyFill="1" applyAlignment="1">
      <alignment horizontal="right"/>
    </xf>
    <xf numFmtId="178" fontId="11" fillId="2" borderId="0" xfId="8" applyNumberFormat="1" applyFont="1" applyFill="1"/>
    <xf numFmtId="164" fontId="11" fillId="2" borderId="0" xfId="1" applyFont="1" applyFill="1"/>
    <xf numFmtId="179" fontId="2" fillId="3" borderId="0" xfId="0" applyNumberFormat="1" applyFont="1" applyFill="1"/>
    <xf numFmtId="164" fontId="2" fillId="3" borderId="0" xfId="1" applyFont="1" applyFill="1"/>
    <xf numFmtId="0" fontId="4" fillId="4" borderId="0" xfId="0" applyFont="1" applyFill="1" applyAlignment="1">
      <alignment horizontal="center" vertical="center"/>
    </xf>
    <xf numFmtId="170" fontId="4" fillId="4" borderId="0" xfId="9" applyNumberFormat="1" applyFont="1" applyFill="1" applyAlignment="1">
      <alignment horizontal="center" vertical="center"/>
    </xf>
    <xf numFmtId="0" fontId="2" fillId="3" borderId="0" xfId="0" applyFont="1" applyFill="1" applyAlignment="1">
      <alignment horizontal="left" vertical="top" wrapText="1"/>
    </xf>
    <xf numFmtId="0" fontId="4" fillId="4" borderId="0" xfId="0" applyFont="1" applyFill="1" applyAlignment="1">
      <alignment horizontal="center"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cellXfs>
  <cellStyles count="23">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1391814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1</xdr:col>
      <xdr:colOff>0</xdr:colOff>
      <xdr:row>55</xdr:row>
      <xdr:rowOff>107156</xdr:rowOff>
    </xdr:from>
    <xdr:to>
      <xdr:col>1</xdr:col>
      <xdr:colOff>1333500</xdr:colOff>
      <xdr:row>57</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30573"/>
          <a:ext cx="1333500" cy="655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W53"/>
  <sheetViews>
    <sheetView topLeftCell="B1" zoomScale="110" zoomScaleNormal="110" workbookViewId="0">
      <selection activeCell="I22" sqref="I22"/>
    </sheetView>
  </sheetViews>
  <sheetFormatPr baseColWidth="10" defaultColWidth="11.44140625" defaultRowHeight="14.4" x14ac:dyDescent="0.35"/>
  <cols>
    <col min="1" max="1" width="7.33203125" style="1" hidden="1" customWidth="1"/>
    <col min="2" max="2" width="40" style="1" bestFit="1" customWidth="1"/>
    <col min="3" max="3" width="11.44140625" style="1"/>
    <col min="4" max="4" width="11.44140625" style="76"/>
    <col min="5" max="7" width="11.44140625" style="1"/>
    <col min="8" max="8" width="37.44140625" style="1" customWidth="1"/>
    <col min="9" max="36" width="11.44140625" style="1" customWidth="1"/>
    <col min="37" max="16384" width="11.44140625" style="1"/>
  </cols>
  <sheetData>
    <row r="4" spans="1:38" ht="23.4" x14ac:dyDescent="0.45">
      <c r="B4" s="12" t="s">
        <v>0</v>
      </c>
      <c r="C4" s="13"/>
      <c r="D4" s="75"/>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6" spans="1:38" x14ac:dyDescent="0.35">
      <c r="A6" s="1">
        <v>1</v>
      </c>
      <c r="B6" s="3" t="s">
        <v>1</v>
      </c>
      <c r="C6" s="100" t="s">
        <v>130</v>
      </c>
      <c r="D6" s="101" t="s">
        <v>144</v>
      </c>
      <c r="E6" s="100" t="s">
        <v>4</v>
      </c>
      <c r="H6" s="3" t="s">
        <v>5</v>
      </c>
      <c r="I6" s="100" t="s">
        <v>6</v>
      </c>
      <c r="J6" s="100" t="s">
        <v>7</v>
      </c>
      <c r="K6" s="100" t="s">
        <v>8</v>
      </c>
      <c r="L6" s="100" t="s">
        <v>9</v>
      </c>
      <c r="M6" s="100" t="s">
        <v>10</v>
      </c>
      <c r="N6" s="100" t="s">
        <v>11</v>
      </c>
      <c r="O6" s="100" t="s">
        <v>12</v>
      </c>
      <c r="P6" s="100" t="s">
        <v>13</v>
      </c>
      <c r="Q6" s="100" t="s">
        <v>14</v>
      </c>
      <c r="R6" s="100" t="s">
        <v>15</v>
      </c>
      <c r="S6" s="100" t="s">
        <v>16</v>
      </c>
      <c r="T6" s="100" t="s">
        <v>17</v>
      </c>
      <c r="U6" s="100" t="s">
        <v>18</v>
      </c>
      <c r="V6" s="100" t="s">
        <v>19</v>
      </c>
      <c r="W6" s="100" t="s">
        <v>20</v>
      </c>
      <c r="X6" s="100" t="s">
        <v>21</v>
      </c>
      <c r="Y6" s="100" t="s">
        <v>22</v>
      </c>
      <c r="Z6" s="100" t="s">
        <v>23</v>
      </c>
      <c r="AA6" s="100" t="s">
        <v>24</v>
      </c>
      <c r="AB6" s="100" t="s">
        <v>2</v>
      </c>
      <c r="AC6" s="100" t="s">
        <v>25</v>
      </c>
      <c r="AD6" s="100" t="s">
        <v>26</v>
      </c>
      <c r="AE6" s="100" t="s">
        <v>27</v>
      </c>
      <c r="AF6" s="100" t="s">
        <v>3</v>
      </c>
      <c r="AG6" s="100" t="s">
        <v>128</v>
      </c>
      <c r="AH6" s="100" t="s">
        <v>130</v>
      </c>
      <c r="AI6" s="100" t="s">
        <v>139</v>
      </c>
      <c r="AJ6" s="100" t="s">
        <v>141</v>
      </c>
      <c r="AK6" s="100" t="s">
        <v>143</v>
      </c>
      <c r="AL6" s="100" t="s">
        <v>144</v>
      </c>
    </row>
    <row r="7" spans="1:38" x14ac:dyDescent="0.35">
      <c r="A7" s="1">
        <f>+A6+1</f>
        <v>2</v>
      </c>
      <c r="B7" s="3" t="s">
        <v>28</v>
      </c>
      <c r="C7" s="100"/>
      <c r="D7" s="101"/>
      <c r="E7" s="100"/>
      <c r="H7" s="3" t="s">
        <v>28</v>
      </c>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row>
    <row r="8" spans="1:38" x14ac:dyDescent="0.35">
      <c r="A8" s="1">
        <f t="shared" ref="A8:A29" si="0">+A7+1</f>
        <v>3</v>
      </c>
      <c r="C8" s="60"/>
      <c r="E8" s="60"/>
    </row>
    <row r="9" spans="1:38" x14ac:dyDescent="0.35">
      <c r="A9" s="1">
        <f t="shared" si="0"/>
        <v>4</v>
      </c>
      <c r="B9" s="6" t="s">
        <v>29</v>
      </c>
      <c r="C9" s="61">
        <f>+HLOOKUP($C$6,H6:AP29,A9,FALSE)</f>
        <v>3020.1895664713779</v>
      </c>
      <c r="D9" s="77">
        <f>+HLOOKUP($D$6,$H$6:$BI$29,A9,FALSE)</f>
        <v>3088.3617718679452</v>
      </c>
      <c r="E9" s="62">
        <f>D9/C9-1</f>
        <v>2.2572161083324271E-2</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L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3450.6989014341748</v>
      </c>
      <c r="AJ9" s="24">
        <f t="shared" si="4"/>
        <v>2666.661990758414</v>
      </c>
      <c r="AK9" s="24">
        <f t="shared" si="4"/>
        <v>2528.7573605844696</v>
      </c>
      <c r="AL9" s="24">
        <f t="shared" si="4"/>
        <v>3088.3617718679452</v>
      </c>
    </row>
    <row r="10" spans="1:38" ht="5.25" customHeight="1" x14ac:dyDescent="0.35">
      <c r="A10" s="1">
        <f t="shared" si="0"/>
        <v>5</v>
      </c>
      <c r="C10" s="60"/>
      <c r="E10" s="60"/>
    </row>
    <row r="11" spans="1:38" x14ac:dyDescent="0.35">
      <c r="A11" s="1">
        <f t="shared" si="0"/>
        <v>6</v>
      </c>
      <c r="B11" s="5" t="s">
        <v>30</v>
      </c>
      <c r="C11" s="63">
        <f>+HLOOKUP($C$6,$H$6:$AP$31,A11,FALSE)</f>
        <v>783.91245300000003</v>
      </c>
      <c r="D11" s="78">
        <f>+HLOOKUP($D$6,$H$6:$BH$29,A11,FALSE)</f>
        <v>794.0850296906076</v>
      </c>
      <c r="E11" s="64">
        <f>+D11/C11-1</f>
        <v>1.2976674438169189E-2</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750.89746617828928</v>
      </c>
      <c r="AK11" s="25">
        <v>727.339741</v>
      </c>
      <c r="AL11" s="25">
        <v>794.0850296906076</v>
      </c>
    </row>
    <row r="12" spans="1:38" x14ac:dyDescent="0.35">
      <c r="A12" s="1">
        <f t="shared" si="0"/>
        <v>7</v>
      </c>
      <c r="B12" s="5" t="s">
        <v>31</v>
      </c>
      <c r="C12" s="63">
        <f>+HLOOKUP($C$6,$H$6:$AP$31,A12,FALSE)</f>
        <v>1735.752988406</v>
      </c>
      <c r="D12" s="78">
        <f>+HLOOKUP($D$6,$H$6:$BH$29,A12,FALSE)</f>
        <v>1673.9735219967133</v>
      </c>
      <c r="E12" s="65">
        <f t="shared" ref="E12:E13" si="5">+D12/C12-1</f>
        <v>-3.5592314587354235E-2</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1883.0254070750898</v>
      </c>
      <c r="AK12" s="25">
        <v>1704.8965466730001</v>
      </c>
      <c r="AL12" s="25">
        <v>1673.9735219967133</v>
      </c>
    </row>
    <row r="13" spans="1:38" x14ac:dyDescent="0.35">
      <c r="A13" s="1">
        <f t="shared" si="0"/>
        <v>8</v>
      </c>
      <c r="B13" s="5" t="s">
        <v>32</v>
      </c>
      <c r="C13" s="63">
        <f>+HLOOKUP($C$6,$H$6:$AP$31,A13,FALSE)</f>
        <v>500.52412506537814</v>
      </c>
      <c r="D13" s="78">
        <f>+HLOOKUP($D$6,$H$6:$BH$29,A13,FALSE)</f>
        <v>620.30322018062475</v>
      </c>
      <c r="E13" s="64">
        <f t="shared" si="5"/>
        <v>0.23930733628394263</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2">
        <v>0</v>
      </c>
      <c r="AG13" s="72">
        <v>399.97817196043991</v>
      </c>
      <c r="AH13" s="72">
        <v>500.52412506537814</v>
      </c>
      <c r="AI13" s="72">
        <v>786.93005229864139</v>
      </c>
      <c r="AJ13" s="72">
        <v>32.739117505034869</v>
      </c>
      <c r="AK13" s="72">
        <v>96.521072911469332</v>
      </c>
      <c r="AL13" s="72">
        <v>620.30322018062475</v>
      </c>
    </row>
    <row r="14" spans="1:38" ht="5.25" customHeight="1" x14ac:dyDescent="0.35">
      <c r="A14" s="1">
        <f t="shared" si="0"/>
        <v>9</v>
      </c>
      <c r="C14" s="67">
        <f>+HLOOKUP($C$6,$H$6:$AP$31,A14,FALSE)</f>
        <v>0</v>
      </c>
      <c r="D14" s="76">
        <f>+HLOOKUP($D$6,$H$6:$BH$29,A14,FALSE)</f>
        <v>0</v>
      </c>
      <c r="E14" s="60"/>
      <c r="I14" s="26"/>
      <c r="J14" s="26"/>
      <c r="K14" s="26"/>
      <c r="L14" s="26"/>
      <c r="M14" s="26"/>
      <c r="N14" s="26"/>
      <c r="O14" s="26"/>
      <c r="P14" s="26"/>
      <c r="Q14" s="26"/>
      <c r="R14" s="26"/>
      <c r="S14" s="26"/>
      <c r="T14" s="26"/>
      <c r="U14" s="26"/>
      <c r="V14" s="26"/>
      <c r="W14" s="26"/>
      <c r="X14" s="26"/>
      <c r="Y14" s="26"/>
      <c r="Z14" s="26"/>
      <c r="AA14" s="26"/>
      <c r="AB14" s="26"/>
      <c r="AC14" s="26"/>
      <c r="AD14" s="26"/>
      <c r="AE14" s="26"/>
    </row>
    <row r="15" spans="1:38" x14ac:dyDescent="0.35">
      <c r="A15" s="1">
        <f t="shared" si="0"/>
        <v>10</v>
      </c>
      <c r="B15" s="5" t="s">
        <v>33</v>
      </c>
      <c r="C15" s="63">
        <f>+HLOOKUP($C$6,$H$6:$AP$31,A15,FALSE)</f>
        <v>1439.5195898763534</v>
      </c>
      <c r="D15" s="78">
        <f>+HLOOKUP($D$6,$H$6:$BH$29,A15,FALSE)</f>
        <v>1315.7764057154354</v>
      </c>
      <c r="E15" s="64">
        <f t="shared" ref="E15" si="6">+D15/C15-1</f>
        <v>-8.5961445075955378E-2</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1493.8879987067903</v>
      </c>
      <c r="AJ15" s="25">
        <v>1469.0334855196272</v>
      </c>
      <c r="AK15" s="25">
        <v>1322.4572740977133</v>
      </c>
      <c r="AL15" s="25">
        <v>1315.7764057154354</v>
      </c>
    </row>
    <row r="16" spans="1:38" ht="10.5" customHeight="1" x14ac:dyDescent="0.35">
      <c r="A16" s="1">
        <f t="shared" si="0"/>
        <v>11</v>
      </c>
      <c r="C16" s="60"/>
      <c r="E16" s="60"/>
    </row>
    <row r="17" spans="1:49" x14ac:dyDescent="0.35">
      <c r="A17" s="1">
        <f t="shared" si="0"/>
        <v>12</v>
      </c>
      <c r="B17" s="6" t="s">
        <v>34</v>
      </c>
      <c r="C17" s="61">
        <f>+HLOOKUP($C$6,$H$6:$AP$31,A17,FALSE)</f>
        <v>3113.9792090261044</v>
      </c>
      <c r="D17" s="77">
        <f>+HLOOKUP($D$6,$H$6:$BH$29,A17,FALSE)</f>
        <v>3178.2279143636388</v>
      </c>
      <c r="E17" s="62">
        <f>D17/C17-1</f>
        <v>2.0632348845266657E-2</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L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c r="AK17" s="24">
        <f t="shared" si="9"/>
        <v>2427.5366890469759</v>
      </c>
      <c r="AL17" s="24">
        <f t="shared" si="9"/>
        <v>3178.2279143636388</v>
      </c>
      <c r="AR17" s="26"/>
      <c r="AS17" s="26"/>
      <c r="AT17" s="26"/>
      <c r="AU17" s="26"/>
      <c r="AV17" s="26"/>
      <c r="AW17" s="99"/>
    </row>
    <row r="18" spans="1:49" ht="5.25" customHeight="1" x14ac:dyDescent="0.35">
      <c r="A18" s="1">
        <f t="shared" si="0"/>
        <v>13</v>
      </c>
      <c r="C18" s="60"/>
      <c r="E18" s="60"/>
    </row>
    <row r="19" spans="1:49" x14ac:dyDescent="0.35">
      <c r="A19" s="1">
        <f t="shared" si="0"/>
        <v>14</v>
      </c>
      <c r="B19" s="28" t="s">
        <v>35</v>
      </c>
      <c r="C19" s="66">
        <f t="shared" ref="C19:C29" si="10">+HLOOKUP($C$6,$H$6:$AP$31,A19,FALSE)</f>
        <v>981.54162999999994</v>
      </c>
      <c r="D19" s="79">
        <f t="shared" ref="D19:D29" si="11">+HLOOKUP($D$6,$H$6:$BH$29,A19,FALSE)</f>
        <v>1155.0339199999999</v>
      </c>
      <c r="E19" s="68">
        <f>+D19/C19-1</f>
        <v>0.17675489729355642</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c r="AL19" s="29">
        <v>1155.0339199999999</v>
      </c>
    </row>
    <row r="20" spans="1:49" x14ac:dyDescent="0.35">
      <c r="A20" s="1">
        <f t="shared" si="0"/>
        <v>15</v>
      </c>
      <c r="B20" s="28" t="s">
        <v>36</v>
      </c>
      <c r="C20" s="66">
        <f t="shared" si="10"/>
        <v>2108.0429999999997</v>
      </c>
      <c r="D20" s="79">
        <f t="shared" si="11"/>
        <v>1997.664</v>
      </c>
      <c r="E20" s="68">
        <f>+D20/C20-1</f>
        <v>-5.2360886376606075E-2</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L20" si="14">SUM(AF21:AF23)</f>
        <v>1327.2567999999999</v>
      </c>
      <c r="AG20" s="29">
        <f t="shared" si="14"/>
        <v>1838.4737999999998</v>
      </c>
      <c r="AH20" s="29">
        <f t="shared" si="14"/>
        <v>2108.0429999999997</v>
      </c>
      <c r="AI20" s="29">
        <f t="shared" si="14"/>
        <v>1977.8985600000001</v>
      </c>
      <c r="AJ20" s="29">
        <f t="shared" si="14"/>
        <v>450.48900000000003</v>
      </c>
      <c r="AK20" s="29">
        <f t="shared" si="14"/>
        <v>1512.6569999999999</v>
      </c>
      <c r="AL20" s="29">
        <f t="shared" si="14"/>
        <v>1997.664</v>
      </c>
    </row>
    <row r="21" spans="1:49" x14ac:dyDescent="0.35">
      <c r="A21" s="1">
        <f t="shared" si="0"/>
        <v>16</v>
      </c>
      <c r="B21" s="5" t="s">
        <v>37</v>
      </c>
      <c r="C21" s="63">
        <f t="shared" si="10"/>
        <v>1425.2629999999999</v>
      </c>
      <c r="D21" s="78">
        <f t="shared" si="11"/>
        <v>1206.932</v>
      </c>
      <c r="E21" s="64">
        <f t="shared" ref="E21:E26" si="15">+D21/C21-1</f>
        <v>-0.15318646453321239</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c r="AL21" s="25">
        <v>1206.932</v>
      </c>
    </row>
    <row r="22" spans="1:49" x14ac:dyDescent="0.35">
      <c r="A22" s="1">
        <f t="shared" si="0"/>
        <v>17</v>
      </c>
      <c r="B22" s="5" t="s">
        <v>38</v>
      </c>
      <c r="C22" s="63">
        <f t="shared" si="10"/>
        <v>31.5</v>
      </c>
      <c r="D22" s="78">
        <f t="shared" si="11"/>
        <v>45.290000000000006</v>
      </c>
      <c r="E22" s="64">
        <f t="shared" si="15"/>
        <v>0.43777777777777804</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c r="AL22" s="25">
        <v>45.290000000000006</v>
      </c>
    </row>
    <row r="23" spans="1:49" x14ac:dyDescent="0.35">
      <c r="A23" s="1">
        <f t="shared" si="0"/>
        <v>18</v>
      </c>
      <c r="B23" s="5" t="s">
        <v>39</v>
      </c>
      <c r="C23" s="63">
        <f t="shared" si="10"/>
        <v>651.28</v>
      </c>
      <c r="D23" s="78">
        <f t="shared" si="11"/>
        <v>745.44200000000001</v>
      </c>
      <c r="E23" s="64">
        <f t="shared" si="15"/>
        <v>0.14457990418867461</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c r="AL23" s="25">
        <v>745.44200000000001</v>
      </c>
    </row>
    <row r="24" spans="1:49" x14ac:dyDescent="0.35">
      <c r="A24" s="1">
        <f t="shared" si="0"/>
        <v>19</v>
      </c>
      <c r="B24" s="28" t="s">
        <v>40</v>
      </c>
      <c r="C24" s="66">
        <f t="shared" si="10"/>
        <v>24.394579026104999</v>
      </c>
      <c r="D24" s="79">
        <f t="shared" si="11"/>
        <v>25.529994363639318</v>
      </c>
      <c r="E24" s="68">
        <f t="shared" si="15"/>
        <v>4.6543756148416993E-2</v>
      </c>
      <c r="H24" s="28" t="s">
        <v>40</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c r="AK24" s="29">
        <f>SUM(AK25:AK26)</f>
        <v>27.695489046976014</v>
      </c>
      <c r="AL24" s="29">
        <f>SUM(AL25:AL26)</f>
        <v>25.529994363639318</v>
      </c>
    </row>
    <row r="25" spans="1:49" x14ac:dyDescent="0.35">
      <c r="A25" s="1">
        <f t="shared" si="0"/>
        <v>20</v>
      </c>
      <c r="B25" s="5" t="s">
        <v>41</v>
      </c>
      <c r="C25" s="25">
        <f t="shared" si="10"/>
        <v>21.309542624999999</v>
      </c>
      <c r="D25" s="78">
        <f t="shared" si="11"/>
        <v>22.435517000000015</v>
      </c>
      <c r="E25" s="64">
        <f t="shared" si="15"/>
        <v>5.2838974294973529E-2</v>
      </c>
      <c r="H25" s="5" t="s">
        <v>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c r="AL25" s="30">
        <v>22.435517000000015</v>
      </c>
    </row>
    <row r="26" spans="1:49" x14ac:dyDescent="0.35">
      <c r="A26" s="1">
        <f t="shared" si="0"/>
        <v>21</v>
      </c>
      <c r="B26" s="5" t="s">
        <v>42</v>
      </c>
      <c r="C26" s="25">
        <f t="shared" si="10"/>
        <v>3.085036401105</v>
      </c>
      <c r="D26" s="78">
        <f t="shared" si="11"/>
        <v>3.0944773636393013</v>
      </c>
      <c r="E26" s="64">
        <f t="shared" si="15"/>
        <v>3.0602434807316392E-3</v>
      </c>
      <c r="H26" s="5" t="s">
        <v>42</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c r="AL26" s="30">
        <v>3.0944773636393013</v>
      </c>
    </row>
    <row r="27" spans="1:49" x14ac:dyDescent="0.35">
      <c r="A27" s="1">
        <f t="shared" si="0"/>
        <v>22</v>
      </c>
      <c r="B27" s="28" t="s">
        <v>43</v>
      </c>
      <c r="C27" s="59">
        <f t="shared" si="10"/>
        <v>0</v>
      </c>
      <c r="D27" s="79">
        <f t="shared" si="11"/>
        <v>0</v>
      </c>
      <c r="E27" s="86" t="s">
        <v>44</v>
      </c>
      <c r="H27" s="28" t="s">
        <v>43</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310.77272245930499</v>
      </c>
      <c r="AL27" s="31">
        <v>0</v>
      </c>
    </row>
    <row r="28" spans="1:49" ht="5.25" customHeight="1" x14ac:dyDescent="0.35">
      <c r="A28" s="1">
        <f t="shared" si="0"/>
        <v>23</v>
      </c>
      <c r="C28" s="67">
        <f t="shared" si="10"/>
        <v>0</v>
      </c>
      <c r="E28" s="60"/>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row>
    <row r="29" spans="1:49" x14ac:dyDescent="0.35">
      <c r="A29" s="1">
        <f t="shared" si="0"/>
        <v>24</v>
      </c>
      <c r="B29" s="20" t="s">
        <v>45</v>
      </c>
      <c r="C29" s="69">
        <f t="shared" si="10"/>
        <v>500.52412506537814</v>
      </c>
      <c r="D29" s="80">
        <f t="shared" si="11"/>
        <v>620.30322018062475</v>
      </c>
      <c r="E29" s="70" t="s">
        <v>44</v>
      </c>
      <c r="H29" s="20" t="s">
        <v>45</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L29" si="22">AF13-AF27</f>
        <v>-102.91959303165353</v>
      </c>
      <c r="AG29" s="27">
        <f t="shared" si="22"/>
        <v>399.97817196043991</v>
      </c>
      <c r="AH29" s="27">
        <f t="shared" si="22"/>
        <v>500.52412506537814</v>
      </c>
      <c r="AI29" s="27">
        <f t="shared" si="22"/>
        <v>786.93005229864139</v>
      </c>
      <c r="AJ29" s="27">
        <f t="shared" si="22"/>
        <v>-236.99871302094743</v>
      </c>
      <c r="AK29" s="27">
        <f t="shared" si="22"/>
        <v>-214.25164954783565</v>
      </c>
      <c r="AL29" s="27">
        <f t="shared" si="22"/>
        <v>620.30322018062475</v>
      </c>
    </row>
    <row r="30" spans="1:49" x14ac:dyDescent="0.35">
      <c r="C30" s="60"/>
      <c r="E30" s="60"/>
    </row>
    <row r="34" spans="1:38" ht="23.4" x14ac:dyDescent="0.45">
      <c r="B34" s="12" t="s">
        <v>46</v>
      </c>
      <c r="C34" s="13"/>
      <c r="D34" s="75"/>
      <c r="E34" s="13"/>
      <c r="H34" s="12" t="s">
        <v>46</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row>
    <row r="36" spans="1:38" x14ac:dyDescent="0.35">
      <c r="A36" s="1">
        <v>1</v>
      </c>
      <c r="B36" s="3" t="s">
        <v>1</v>
      </c>
      <c r="C36" s="100" t="s">
        <v>130</v>
      </c>
      <c r="D36" s="101" t="s">
        <v>144</v>
      </c>
      <c r="E36" s="100" t="s">
        <v>4</v>
      </c>
      <c r="H36" s="3" t="s">
        <v>5</v>
      </c>
      <c r="I36" s="100" t="s">
        <v>6</v>
      </c>
      <c r="J36" s="100" t="s">
        <v>7</v>
      </c>
      <c r="K36" s="100" t="s">
        <v>8</v>
      </c>
      <c r="L36" s="100" t="s">
        <v>9</v>
      </c>
      <c r="M36" s="100" t="s">
        <v>10</v>
      </c>
      <c r="N36" s="100" t="s">
        <v>11</v>
      </c>
      <c r="O36" s="100" t="s">
        <v>12</v>
      </c>
      <c r="P36" s="100" t="s">
        <v>13</v>
      </c>
      <c r="Q36" s="100" t="s">
        <v>14</v>
      </c>
      <c r="R36" s="100" t="s">
        <v>15</v>
      </c>
      <c r="S36" s="100" t="s">
        <v>16</v>
      </c>
      <c r="T36" s="100" t="s">
        <v>17</v>
      </c>
      <c r="U36" s="100" t="s">
        <v>18</v>
      </c>
      <c r="V36" s="100" t="s">
        <v>19</v>
      </c>
      <c r="W36" s="100" t="s">
        <v>20</v>
      </c>
      <c r="X36" s="100" t="s">
        <v>21</v>
      </c>
      <c r="Y36" s="100" t="s">
        <v>22</v>
      </c>
      <c r="Z36" s="100" t="s">
        <v>23</v>
      </c>
      <c r="AA36" s="100" t="s">
        <v>24</v>
      </c>
      <c r="AB36" s="100" t="s">
        <v>2</v>
      </c>
      <c r="AC36" s="100" t="s">
        <v>25</v>
      </c>
      <c r="AD36" s="100" t="s">
        <v>26</v>
      </c>
      <c r="AE36" s="100" t="s">
        <v>27</v>
      </c>
      <c r="AF36" s="100" t="s">
        <v>3</v>
      </c>
      <c r="AG36" s="100" t="s">
        <v>128</v>
      </c>
      <c r="AH36" s="100" t="s">
        <v>130</v>
      </c>
      <c r="AI36" s="100" t="s">
        <v>139</v>
      </c>
      <c r="AJ36" s="100" t="s">
        <v>141</v>
      </c>
      <c r="AK36" s="100" t="s">
        <v>143</v>
      </c>
      <c r="AL36" s="100" t="s">
        <v>144</v>
      </c>
    </row>
    <row r="37" spans="1:38" x14ac:dyDescent="0.35">
      <c r="A37" s="1">
        <v>2</v>
      </c>
      <c r="B37" s="3" t="s">
        <v>28</v>
      </c>
      <c r="C37" s="100"/>
      <c r="D37" s="101"/>
      <c r="E37" s="100"/>
      <c r="H37" s="3" t="s">
        <v>28</v>
      </c>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row>
    <row r="38" spans="1:38" x14ac:dyDescent="0.35">
      <c r="A38" s="1">
        <v>3</v>
      </c>
    </row>
    <row r="39" spans="1:38" x14ac:dyDescent="0.35">
      <c r="A39" s="1">
        <v>4</v>
      </c>
      <c r="B39" s="6" t="s">
        <v>29</v>
      </c>
      <c r="C39" s="24">
        <f>+HLOOKUP($C$36,$H$36:$AP$51,A39,FALSE)</f>
        <v>626.65296885991324</v>
      </c>
      <c r="D39" s="77">
        <f>+HLOOKUP($D$36,H36:AP51,A39,FALSE)</f>
        <v>877.86212596818189</v>
      </c>
      <c r="E39" s="62">
        <f>D39/C39-1</f>
        <v>0.40087443863116179</v>
      </c>
      <c r="H39" s="6" t="s">
        <v>29</v>
      </c>
      <c r="I39" s="32"/>
      <c r="J39" s="32"/>
      <c r="K39" s="32"/>
      <c r="L39" s="32"/>
      <c r="M39" s="32"/>
      <c r="N39" s="32"/>
      <c r="O39" s="32"/>
      <c r="P39" s="32"/>
      <c r="Q39" s="24">
        <f>Q41+Q42</f>
        <v>896.15477393720892</v>
      </c>
      <c r="R39" s="24">
        <f t="shared" ref="R39:W39" si="23">R41+R42</f>
        <v>966.33258163299797</v>
      </c>
      <c r="S39" s="24">
        <f t="shared" si="23"/>
        <v>931.47193074071765</v>
      </c>
      <c r="T39" s="24">
        <f t="shared" si="23"/>
        <v>1184.7649773808278</v>
      </c>
      <c r="U39" s="24">
        <f t="shared" si="23"/>
        <v>788.82634795288288</v>
      </c>
      <c r="V39" s="24">
        <f t="shared" si="23"/>
        <v>1049</v>
      </c>
      <c r="W39" s="24">
        <f t="shared" si="23"/>
        <v>1163.3114928183011</v>
      </c>
      <c r="X39" s="24">
        <f t="shared" ref="X39:Y39" si="24">X41+X42</f>
        <v>1110.2813305312957</v>
      </c>
      <c r="Y39" s="24">
        <f t="shared" si="24"/>
        <v>809.94496876190215</v>
      </c>
      <c r="Z39" s="24">
        <f t="shared" ref="Z39:AE39" si="25">Z41+Z42</f>
        <v>978.76345776423216</v>
      </c>
      <c r="AA39" s="24">
        <f t="shared" si="25"/>
        <v>1096.5211357750077</v>
      </c>
      <c r="AB39" s="24">
        <f t="shared" si="25"/>
        <v>1159.7479302785923</v>
      </c>
      <c r="AC39" s="24">
        <f t="shared" si="25"/>
        <v>941.93401631200777</v>
      </c>
      <c r="AD39" s="24">
        <f t="shared" si="25"/>
        <v>983.01939262984422</v>
      </c>
      <c r="AE39" s="24">
        <f t="shared" si="25"/>
        <v>1160.60459709322</v>
      </c>
      <c r="AF39" s="24">
        <f t="shared" ref="AF39:AL39" si="26">AF41+AF42</f>
        <v>825.0815780808764</v>
      </c>
      <c r="AG39" s="24">
        <f t="shared" si="26"/>
        <v>515.44411977188861</v>
      </c>
      <c r="AH39" s="24">
        <f t="shared" si="26"/>
        <v>626.65296885991324</v>
      </c>
      <c r="AI39" s="24">
        <f t="shared" si="26"/>
        <v>1018.8991882348981</v>
      </c>
      <c r="AJ39" s="24">
        <f t="shared" si="26"/>
        <v>980.50098632936749</v>
      </c>
      <c r="AK39" s="24">
        <f t="shared" si="26"/>
        <v>560.96413158793575</v>
      </c>
      <c r="AL39" s="24">
        <f t="shared" si="26"/>
        <v>877.86212596818189</v>
      </c>
    </row>
    <row r="40" spans="1:38" ht="6" customHeight="1" x14ac:dyDescent="0.35">
      <c r="A40" s="1">
        <v>5</v>
      </c>
      <c r="E40" s="60"/>
      <c r="I40" s="33"/>
      <c r="J40" s="33"/>
      <c r="K40" s="33"/>
      <c r="L40" s="33"/>
      <c r="M40" s="33"/>
      <c r="N40" s="33"/>
      <c r="O40" s="33"/>
      <c r="P40" s="33"/>
    </row>
    <row r="41" spans="1:38" x14ac:dyDescent="0.35">
      <c r="A41" s="1">
        <v>6</v>
      </c>
      <c r="B41" s="5" t="s">
        <v>47</v>
      </c>
      <c r="C41" s="25">
        <f>+HLOOKUP($C$36,$H$36:$AP$51,A41,FALSE)</f>
        <v>412.61388027848921</v>
      </c>
      <c r="D41" s="78">
        <f>+HLOOKUP($D$36,$H$36:$BG$51,A41,FALSE)</f>
        <v>503.87157825194322</v>
      </c>
      <c r="E41" s="64">
        <f>+D41/C41-1</f>
        <v>0.2211697238877679</v>
      </c>
      <c r="F41" s="55"/>
      <c r="H41" s="5" t="s">
        <v>47</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412.61388027848921</v>
      </c>
      <c r="AI41" s="25">
        <v>676.5434032131883</v>
      </c>
      <c r="AJ41" s="25">
        <v>700.63336412872525</v>
      </c>
      <c r="AK41" s="25">
        <v>509.42713583293488</v>
      </c>
      <c r="AL41" s="25">
        <v>503.87157825194322</v>
      </c>
    </row>
    <row r="42" spans="1:38" x14ac:dyDescent="0.35">
      <c r="A42" s="1">
        <v>7</v>
      </c>
      <c r="B42" s="5" t="s">
        <v>32</v>
      </c>
      <c r="C42" s="25">
        <f>+HLOOKUP($C$36,$H$36:$AP$51,A42,FALSE)</f>
        <v>214.03908858142407</v>
      </c>
      <c r="D42" s="78">
        <f>+HLOOKUP($D$36,$H$36:$BG$51,A42,FALSE)</f>
        <v>373.99054771623867</v>
      </c>
      <c r="E42" s="64" t="s">
        <v>44</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214.03908858142407</v>
      </c>
      <c r="AI42" s="25">
        <v>342.35578502170983</v>
      </c>
      <c r="AJ42" s="25">
        <v>279.86762220064224</v>
      </c>
      <c r="AK42" s="25">
        <v>51.536995755000873</v>
      </c>
      <c r="AL42" s="25">
        <v>373.99054771623867</v>
      </c>
    </row>
    <row r="43" spans="1:38" ht="6" customHeight="1" x14ac:dyDescent="0.35">
      <c r="A43" s="1">
        <v>8</v>
      </c>
      <c r="C43" s="26">
        <f>+HLOOKUP($C$36,$H$36:$AP$51,A43,FALSE)</f>
        <v>0</v>
      </c>
      <c r="E43" s="60"/>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c r="AL43" s="26"/>
    </row>
    <row r="44" spans="1:38" x14ac:dyDescent="0.35">
      <c r="A44" s="1">
        <v>9</v>
      </c>
      <c r="B44" s="5" t="s">
        <v>33</v>
      </c>
      <c r="C44" s="25">
        <f>+HLOOKUP($C$36,$H$36:$AP$51,A44,FALSE)</f>
        <v>559.66719784939505</v>
      </c>
      <c r="D44" s="78">
        <f>+HLOOKUP($D$36,$H$36:$BG$51,A44,FALSE)</f>
        <v>563.2322290763849</v>
      </c>
      <c r="E44" s="64">
        <f t="shared" ref="E44" si="27">+D44/C44-1</f>
        <v>6.3699127636727138E-3</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c r="AL44" s="25">
        <v>563.2322290763849</v>
      </c>
    </row>
    <row r="45" spans="1:38" ht="12.75" customHeight="1" x14ac:dyDescent="0.35">
      <c r="A45" s="1">
        <v>10</v>
      </c>
      <c r="E45" s="60"/>
      <c r="I45" s="33"/>
      <c r="J45" s="33"/>
      <c r="K45" s="33"/>
      <c r="L45" s="33"/>
      <c r="M45" s="33"/>
      <c r="N45" s="33"/>
      <c r="O45" s="33"/>
      <c r="P45" s="33"/>
    </row>
    <row r="46" spans="1:38" x14ac:dyDescent="0.35">
      <c r="A46" s="1">
        <v>11</v>
      </c>
      <c r="B46" s="6" t="s">
        <v>34</v>
      </c>
      <c r="C46" s="24">
        <f>+HLOOKUP($C$36,$H$36:$AP$51,A46,FALSE)</f>
        <v>512.9721762170193</v>
      </c>
      <c r="D46" s="77">
        <f>+HLOOKUP($D$36,$H$36:$BG$51,A46,FALSE)</f>
        <v>778.16852065162254</v>
      </c>
      <c r="E46" s="62">
        <f>D46/C46-1</f>
        <v>0.51697997811563301</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L46" si="28">X48</f>
        <v>1135.4340123571928</v>
      </c>
      <c r="Y46" s="24">
        <f t="shared" si="28"/>
        <v>604.51495743320493</v>
      </c>
      <c r="Z46" s="24">
        <f t="shared" si="28"/>
        <v>1002.3766853551615</v>
      </c>
      <c r="AA46" s="24">
        <f t="shared" si="28"/>
        <v>1120.5979260393226</v>
      </c>
      <c r="AB46" s="24">
        <f t="shared" si="28"/>
        <v>1186.0360253896108</v>
      </c>
      <c r="AC46" s="24">
        <f t="shared" si="28"/>
        <v>931.62044726669956</v>
      </c>
      <c r="AD46" s="24">
        <f t="shared" si="28"/>
        <v>937.26247630600551</v>
      </c>
      <c r="AE46" s="24">
        <f t="shared" si="28"/>
        <v>1185.39815986183</v>
      </c>
      <c r="AF46" s="24">
        <f t="shared" si="28"/>
        <v>713.17974191683015</v>
      </c>
      <c r="AG46" s="24">
        <f t="shared" si="28"/>
        <v>343.09821429481127</v>
      </c>
      <c r="AH46" s="24">
        <f t="shared" si="28"/>
        <v>512.9721762170193</v>
      </c>
      <c r="AI46" s="24">
        <f t="shared" si="28"/>
        <v>1041.8325739005161</v>
      </c>
      <c r="AJ46" s="24">
        <f t="shared" si="28"/>
        <v>989.03271813771471</v>
      </c>
      <c r="AK46" s="24">
        <f t="shared" si="28"/>
        <v>520.66747253658468</v>
      </c>
      <c r="AL46" s="24">
        <f t="shared" si="28"/>
        <v>778.16852065162254</v>
      </c>
    </row>
    <row r="47" spans="1:38" ht="6" customHeight="1" x14ac:dyDescent="0.35">
      <c r="A47" s="1">
        <v>12</v>
      </c>
      <c r="E47" s="60"/>
      <c r="I47" s="33"/>
      <c r="J47" s="33"/>
      <c r="K47" s="33"/>
      <c r="L47" s="33"/>
      <c r="M47" s="33"/>
      <c r="N47" s="33"/>
      <c r="O47" s="33"/>
      <c r="P47" s="33"/>
    </row>
    <row r="48" spans="1:38" x14ac:dyDescent="0.35">
      <c r="A48" s="1">
        <v>13</v>
      </c>
      <c r="B48" s="5" t="s">
        <v>48</v>
      </c>
      <c r="C48" s="25">
        <f>+HLOOKUP($C$36,$H$36:$AP$51,A48,FALSE)</f>
        <v>512.9721762170193</v>
      </c>
      <c r="D48" s="78">
        <f>+HLOOKUP($D$36,$H$36:$BG$51,A48,FALSE)</f>
        <v>778.16852065162254</v>
      </c>
      <c r="E48" s="64">
        <f t="shared" ref="E48:E49" si="29">+D48/C48-1</f>
        <v>0.51697997811563301</v>
      </c>
      <c r="H48" s="5" t="s">
        <v>48</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c r="AL48" s="25">
        <v>778.16852065162254</v>
      </c>
    </row>
    <row r="49" spans="1:38" x14ac:dyDescent="0.35">
      <c r="A49" s="1">
        <v>14</v>
      </c>
      <c r="B49" s="5" t="s">
        <v>43</v>
      </c>
      <c r="C49" s="78">
        <f>+HLOOKUP($C$36,$H$36:$AP$51,A49,FALSE)</f>
        <v>127.77895410268108</v>
      </c>
      <c r="D49" s="78">
        <f>+HLOOKUP($D$36,$H$36:$BG$51,A49,FALSE)</f>
        <v>120.04272042266</v>
      </c>
      <c r="E49" s="64">
        <f t="shared" si="29"/>
        <v>-6.054388012758638E-2</v>
      </c>
      <c r="H49" s="5" t="s">
        <v>43</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127.77895410268108</v>
      </c>
      <c r="AI49" s="30">
        <v>0</v>
      </c>
      <c r="AJ49" s="30">
        <v>14.5208717002192</v>
      </c>
      <c r="AK49" s="30">
        <v>57.645095655213254</v>
      </c>
      <c r="AL49" s="30">
        <v>120.04272042266</v>
      </c>
    </row>
    <row r="50" spans="1:38" ht="6" customHeight="1" x14ac:dyDescent="0.35">
      <c r="A50" s="1">
        <v>15</v>
      </c>
      <c r="C50" s="26">
        <f>+HLOOKUP($C$36,$H$36:$AP$51,A50,FALSE)</f>
        <v>0</v>
      </c>
      <c r="D50" s="76">
        <f>+HLOOKUP($D$36,$H$36:$BG$51,A50,FALSE)</f>
        <v>0</v>
      </c>
      <c r="E50" s="60"/>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c r="AL50" s="26"/>
    </row>
    <row r="51" spans="1:38" x14ac:dyDescent="0.35">
      <c r="A51" s="1">
        <v>16</v>
      </c>
      <c r="B51" s="27" t="s">
        <v>45</v>
      </c>
      <c r="C51" s="27">
        <f>+HLOOKUP($C$36,$H$36:$AP$51,A51,FALSE)</f>
        <v>86.260134478742984</v>
      </c>
      <c r="D51" s="80">
        <f>+HLOOKUP($D$36,$H$36:$BG$51,A51,FALSE)</f>
        <v>253.94782729357865</v>
      </c>
      <c r="E51" s="70" t="s">
        <v>44</v>
      </c>
      <c r="H51" s="20" t="s">
        <v>45</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L51" si="30">Z42-Z49</f>
        <v>173.63322159405053</v>
      </c>
      <c r="AA51" s="27">
        <f t="shared" si="30"/>
        <v>371.0847186405806</v>
      </c>
      <c r="AB51" s="27">
        <f t="shared" si="30"/>
        <v>442.96485769998151</v>
      </c>
      <c r="AC51" s="27">
        <f t="shared" si="30"/>
        <v>155.92275581512291</v>
      </c>
      <c r="AD51" s="27">
        <f t="shared" si="30"/>
        <v>208.98762901664603</v>
      </c>
      <c r="AE51" s="27">
        <f t="shared" si="30"/>
        <v>430.10112776056849</v>
      </c>
      <c r="AF51" s="27">
        <f t="shared" si="30"/>
        <v>-38.521099921727057</v>
      </c>
      <c r="AG51" s="27">
        <f t="shared" si="30"/>
        <v>-185.6060478259773</v>
      </c>
      <c r="AH51" s="27">
        <f t="shared" si="30"/>
        <v>86.260134478742984</v>
      </c>
      <c r="AI51" s="27">
        <f t="shared" si="30"/>
        <v>342.35578502170983</v>
      </c>
      <c r="AJ51" s="27">
        <f t="shared" si="30"/>
        <v>265.34675050042307</v>
      </c>
      <c r="AK51" s="27">
        <f t="shared" si="30"/>
        <v>-6.1080999002123804</v>
      </c>
      <c r="AL51" s="27">
        <f t="shared" si="30"/>
        <v>253.94782729357865</v>
      </c>
    </row>
    <row r="53" spans="1:38" x14ac:dyDescent="0.35">
      <c r="B53" s="1" t="s">
        <v>140</v>
      </c>
    </row>
  </sheetData>
  <mergeCells count="66">
    <mergeCell ref="AL6:AL7"/>
    <mergeCell ref="AL36:AL37"/>
    <mergeCell ref="AK6:AK7"/>
    <mergeCell ref="AK36:AK37"/>
    <mergeCell ref="L36:L37"/>
    <mergeCell ref="M36:M37"/>
    <mergeCell ref="N36:N37"/>
    <mergeCell ref="O36:O37"/>
    <mergeCell ref="P36:P37"/>
    <mergeCell ref="U6:U7"/>
    <mergeCell ref="Q6:Q7"/>
    <mergeCell ref="R6:R7"/>
    <mergeCell ref="S6:S7"/>
    <mergeCell ref="Q36:Q37"/>
    <mergeCell ref="R36:R37"/>
    <mergeCell ref="S36:S37"/>
    <mergeCell ref="T36:T37"/>
    <mergeCell ref="U36:U37"/>
    <mergeCell ref="T6:T7"/>
    <mergeCell ref="L6:L7"/>
    <mergeCell ref="M6:M7"/>
    <mergeCell ref="N6:N7"/>
    <mergeCell ref="O6:O7"/>
    <mergeCell ref="P6:P7"/>
    <mergeCell ref="K36:K37"/>
    <mergeCell ref="C6:C7"/>
    <mergeCell ref="D6:D7"/>
    <mergeCell ref="E6:E7"/>
    <mergeCell ref="I6:I7"/>
    <mergeCell ref="J6:J7"/>
    <mergeCell ref="C36:C37"/>
    <mergeCell ref="D36:D37"/>
    <mergeCell ref="E36:E37"/>
    <mergeCell ref="I36:I37"/>
    <mergeCell ref="J36:J37"/>
    <mergeCell ref="K6:K7"/>
    <mergeCell ref="Y6:Y7"/>
    <mergeCell ref="Y36:Y37"/>
    <mergeCell ref="V36:V37"/>
    <mergeCell ref="V6:V7"/>
    <mergeCell ref="W6:W7"/>
    <mergeCell ref="X6:X7"/>
    <mergeCell ref="X36:X37"/>
    <mergeCell ref="W36:W37"/>
    <mergeCell ref="Z6:Z7"/>
    <mergeCell ref="Z36:Z37"/>
    <mergeCell ref="AE6:AE7"/>
    <mergeCell ref="AE36:AE37"/>
    <mergeCell ref="AD6:AD7"/>
    <mergeCell ref="AD36:AD37"/>
    <mergeCell ref="AC6:AC7"/>
    <mergeCell ref="AC36:AC37"/>
    <mergeCell ref="AA6:AA7"/>
    <mergeCell ref="AA36:AA37"/>
    <mergeCell ref="AJ6:AJ7"/>
    <mergeCell ref="AJ36:AJ37"/>
    <mergeCell ref="AF6:AF7"/>
    <mergeCell ref="AF36:AF37"/>
    <mergeCell ref="AB6:AB7"/>
    <mergeCell ref="AB36:AB37"/>
    <mergeCell ref="AI6:AI7"/>
    <mergeCell ref="AI36:AI37"/>
    <mergeCell ref="AH6:AH7"/>
    <mergeCell ref="AH36:AH37"/>
    <mergeCell ref="AG6:AG7"/>
    <mergeCell ref="AG36:AG37"/>
  </mergeCells>
  <pageMargins left="0.7" right="0.7" top="0.75" bottom="0.75" header="0.3" footer="0.3"/>
  <pageSetup orientation="portrait" r:id="rId1"/>
  <ignoredErrors>
    <ignoredError sqref="I24 J24:AG24 AK24 AH24:AJ24 AL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B50"/>
  <sheetViews>
    <sheetView topLeftCell="B1" zoomScale="90" zoomScaleNormal="90" workbookViewId="0">
      <selection activeCell="B24" sqref="B24"/>
    </sheetView>
  </sheetViews>
  <sheetFormatPr baseColWidth="10" defaultColWidth="11.44140625" defaultRowHeight="14.4" x14ac:dyDescent="0.35"/>
  <cols>
    <col min="1" max="1" width="0" style="1" hidden="1" customWidth="1"/>
    <col min="2" max="2" width="57.33203125" style="1" customWidth="1"/>
    <col min="3" max="7" width="11.44140625" style="1"/>
    <col min="8" max="8" width="57.33203125" style="1" customWidth="1"/>
    <col min="9" max="24" width="11.44140625" style="1" customWidth="1"/>
    <col min="25" max="26" width="11.44140625" style="1"/>
    <col min="27" max="27" width="13.6640625" style="1" bestFit="1" customWidth="1"/>
    <col min="28" max="16384" width="11.44140625" style="1"/>
  </cols>
  <sheetData>
    <row r="4" spans="1:27" ht="23.4" x14ac:dyDescent="0.45">
      <c r="B4" s="12" t="s">
        <v>49</v>
      </c>
      <c r="C4" s="13"/>
      <c r="D4" s="13"/>
      <c r="E4" s="13"/>
      <c r="H4" s="12" t="s">
        <v>49</v>
      </c>
      <c r="I4" s="13"/>
      <c r="J4" s="13"/>
      <c r="K4" s="13"/>
      <c r="L4" s="13"/>
      <c r="M4" s="13"/>
      <c r="N4" s="13"/>
      <c r="O4" s="13"/>
      <c r="P4" s="13"/>
      <c r="Q4" s="13"/>
      <c r="R4" s="13"/>
      <c r="S4" s="13"/>
      <c r="T4" s="13"/>
      <c r="U4" s="13"/>
      <c r="V4" s="13"/>
      <c r="W4" s="13"/>
      <c r="X4" s="13"/>
      <c r="Y4" s="13"/>
      <c r="Z4" s="13"/>
    </row>
    <row r="5" spans="1:27" ht="8.25" customHeight="1" x14ac:dyDescent="0.35"/>
    <row r="6" spans="1:27" ht="15.75" customHeight="1" x14ac:dyDescent="0.35">
      <c r="A6" s="1">
        <v>1</v>
      </c>
      <c r="B6" s="3" t="s">
        <v>50</v>
      </c>
      <c r="C6" s="100" t="s">
        <v>130</v>
      </c>
      <c r="D6" s="100" t="s">
        <v>144</v>
      </c>
      <c r="E6" s="100" t="s">
        <v>4</v>
      </c>
      <c r="H6" s="3" t="s">
        <v>50</v>
      </c>
      <c r="I6" s="100" t="s">
        <v>18</v>
      </c>
      <c r="J6" s="100" t="s">
        <v>19</v>
      </c>
      <c r="K6" s="100" t="s">
        <v>20</v>
      </c>
      <c r="L6" s="100" t="s">
        <v>21</v>
      </c>
      <c r="M6" s="100" t="s">
        <v>22</v>
      </c>
      <c r="N6" s="100" t="s">
        <v>23</v>
      </c>
      <c r="O6" s="100" t="s">
        <v>24</v>
      </c>
      <c r="P6" s="100" t="s">
        <v>2</v>
      </c>
      <c r="Q6" s="100" t="s">
        <v>25</v>
      </c>
      <c r="R6" s="100" t="s">
        <v>51</v>
      </c>
      <c r="S6" s="103" t="s">
        <v>27</v>
      </c>
      <c r="T6" s="103" t="s">
        <v>3</v>
      </c>
      <c r="U6" s="100" t="s">
        <v>128</v>
      </c>
      <c r="V6" s="100" t="s">
        <v>130</v>
      </c>
      <c r="W6" s="100" t="s">
        <v>139</v>
      </c>
      <c r="X6" s="100" t="s">
        <v>141</v>
      </c>
      <c r="Y6" s="100" t="s">
        <v>143</v>
      </c>
      <c r="Z6" s="100" t="s">
        <v>144</v>
      </c>
    </row>
    <row r="7" spans="1:27" x14ac:dyDescent="0.35">
      <c r="A7" s="1">
        <v>2</v>
      </c>
      <c r="B7" s="3" t="s">
        <v>52</v>
      </c>
      <c r="C7" s="100"/>
      <c r="D7" s="100"/>
      <c r="E7" s="100"/>
      <c r="H7" s="3" t="s">
        <v>52</v>
      </c>
      <c r="I7" s="100"/>
      <c r="J7" s="100"/>
      <c r="K7" s="100"/>
      <c r="L7" s="100"/>
      <c r="M7" s="100"/>
      <c r="N7" s="100"/>
      <c r="O7" s="100"/>
      <c r="P7" s="100"/>
      <c r="Q7" s="100"/>
      <c r="R7" s="100"/>
      <c r="S7" s="103"/>
      <c r="T7" s="103"/>
      <c r="U7" s="100"/>
      <c r="V7" s="100"/>
      <c r="W7" s="100"/>
      <c r="X7" s="100"/>
      <c r="Y7" s="100"/>
      <c r="Z7" s="100"/>
    </row>
    <row r="8" spans="1:27" ht="6.75" customHeight="1" x14ac:dyDescent="0.35">
      <c r="A8" s="1">
        <v>3</v>
      </c>
    </row>
    <row r="9" spans="1:27" x14ac:dyDescent="0.35">
      <c r="A9" s="1">
        <v>4</v>
      </c>
      <c r="B9" s="2" t="s">
        <v>53</v>
      </c>
      <c r="C9" s="9">
        <f>+HLOOKUP($C$6,$H$6:$AR$46,A9,FALSE)</f>
        <v>326.51433945999997</v>
      </c>
      <c r="D9" s="9">
        <f>+HLOOKUP($D$6,$H$6:$AR$46,A9,FALSE)</f>
        <v>372.16881775544198</v>
      </c>
      <c r="E9" s="38">
        <f>D9/C9-1</f>
        <v>0.13982380795571459</v>
      </c>
      <c r="H9" s="2" t="s">
        <v>53</v>
      </c>
      <c r="I9" s="9">
        <f t="shared" ref="I9:Z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9">
        <f t="shared" si="0"/>
        <v>372.16881775544198</v>
      </c>
      <c r="AA9" s="48"/>
    </row>
    <row r="10" spans="1:27" x14ac:dyDescent="0.35">
      <c r="A10" s="1">
        <v>5</v>
      </c>
      <c r="B10" s="4" t="s">
        <v>54</v>
      </c>
      <c r="C10" s="83">
        <f t="shared" ref="C10:C45" si="1">+HLOOKUP($C$6,$H$6:$AR$46,A10,FALSE)</f>
        <v>318.16888381999996</v>
      </c>
      <c r="D10" s="83">
        <f t="shared" ref="D10:D46" si="2">+HLOOKUP($D$6,$H$6:$AR$46,A10,FALSE)</f>
        <v>362.26222753999991</v>
      </c>
      <c r="E10" s="36">
        <f t="shared" ref="E10:E11" si="3">+D10/C10-1</f>
        <v>0.13858471384947002</v>
      </c>
      <c r="H10" s="4" t="s">
        <v>54</v>
      </c>
      <c r="I10" s="83">
        <v>375.70760791999999</v>
      </c>
      <c r="J10" s="83">
        <v>387.07254207000005</v>
      </c>
      <c r="K10" s="83">
        <v>377.56387881999996</v>
      </c>
      <c r="L10" s="83">
        <v>383.95966881999999</v>
      </c>
      <c r="M10" s="83">
        <v>399.36714494</v>
      </c>
      <c r="N10" s="83">
        <v>394.71491316000004</v>
      </c>
      <c r="O10" s="83">
        <f>360.15103961-O11</f>
        <v>353.20982264000003</v>
      </c>
      <c r="P10" s="83">
        <v>378.41628665000002</v>
      </c>
      <c r="Q10" s="83">
        <v>375.03835251999999</v>
      </c>
      <c r="R10" s="83">
        <v>381.06003191000002</v>
      </c>
      <c r="S10" s="83">
        <v>352.25140654999996</v>
      </c>
      <c r="T10" s="83">
        <v>340.84477436216139</v>
      </c>
      <c r="U10" s="83">
        <v>336.26742267000003</v>
      </c>
      <c r="V10" s="83">
        <v>318.16888381999996</v>
      </c>
      <c r="W10" s="83">
        <v>339.68414925000002</v>
      </c>
      <c r="X10" s="83">
        <v>329.10525194999997</v>
      </c>
      <c r="Y10" s="83">
        <v>327.88627881999986</v>
      </c>
      <c r="Z10" s="83">
        <v>362.26222753999991</v>
      </c>
    </row>
    <row r="11" spans="1:27" x14ac:dyDescent="0.35">
      <c r="A11" s="1">
        <v>6</v>
      </c>
      <c r="B11" s="5" t="s">
        <v>55</v>
      </c>
      <c r="C11" s="7">
        <f t="shared" si="1"/>
        <v>8.3454556400000008</v>
      </c>
      <c r="D11" s="7">
        <f t="shared" si="2"/>
        <v>9.9065902154420691</v>
      </c>
      <c r="E11" s="36">
        <f t="shared" si="3"/>
        <v>0.18706403134653393</v>
      </c>
      <c r="H11" s="5" t="s">
        <v>55</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row>
    <row r="12" spans="1:27" ht="5.25" customHeight="1" x14ac:dyDescent="0.35">
      <c r="A12" s="1">
        <v>7</v>
      </c>
      <c r="E12" s="39"/>
    </row>
    <row r="13" spans="1:27" x14ac:dyDescent="0.35">
      <c r="A13" s="1">
        <v>8</v>
      </c>
      <c r="B13" s="6" t="s">
        <v>56</v>
      </c>
      <c r="C13" s="9">
        <f t="shared" si="1"/>
        <v>-144.97976937000001</v>
      </c>
      <c r="D13" s="9">
        <f t="shared" si="2"/>
        <v>-189.50218863124448</v>
      </c>
      <c r="E13" s="38">
        <f>D13/C13-1</f>
        <v>0.30709401356281418</v>
      </c>
      <c r="H13" s="6" t="s">
        <v>56</v>
      </c>
      <c r="I13" s="9">
        <f t="shared" ref="I13:Z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-144.02327721</v>
      </c>
      <c r="V13" s="9">
        <f t="shared" si="4"/>
        <v>-144.97976937000001</v>
      </c>
      <c r="W13" s="9">
        <f t="shared" si="4"/>
        <v>-147.17815601999999</v>
      </c>
      <c r="X13" s="9">
        <f t="shared" si="4"/>
        <v>-129.18792688000002</v>
      </c>
      <c r="Y13" s="9">
        <f t="shared" si="4"/>
        <v>-163.24753229999999</v>
      </c>
      <c r="Z13" s="9">
        <f t="shared" si="4"/>
        <v>-189.50218863124448</v>
      </c>
    </row>
    <row r="14" spans="1:27" x14ac:dyDescent="0.35">
      <c r="A14" s="1">
        <v>9</v>
      </c>
      <c r="B14" s="5" t="s">
        <v>57</v>
      </c>
      <c r="C14" s="8">
        <f t="shared" si="1"/>
        <v>-26.609996129999999</v>
      </c>
      <c r="D14" s="8">
        <f t="shared" si="2"/>
        <v>-29.581270990000004</v>
      </c>
      <c r="E14" s="36">
        <f>+D14/C14-1</f>
        <v>0.11166010116965785</v>
      </c>
      <c r="H14" s="5" t="s">
        <v>57</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row>
    <row r="15" spans="1:27" x14ac:dyDescent="0.35">
      <c r="A15" s="1">
        <v>10</v>
      </c>
      <c r="B15" s="5" t="s">
        <v>58</v>
      </c>
      <c r="C15" s="8">
        <f t="shared" si="1"/>
        <v>-7.0497441700000003</v>
      </c>
      <c r="D15" s="8">
        <f t="shared" si="2"/>
        <v>-13.359126759999995</v>
      </c>
      <c r="E15" s="37">
        <f t="shared" ref="E15:E19" si="5">+D15/C15-1</f>
        <v>0.89498036210298326</v>
      </c>
      <c r="H15" s="5" t="s">
        <v>58</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row>
    <row r="16" spans="1:27" x14ac:dyDescent="0.35">
      <c r="A16" s="1">
        <v>11</v>
      </c>
      <c r="B16" s="5" t="s">
        <v>59</v>
      </c>
      <c r="C16" s="8">
        <f t="shared" si="1"/>
        <v>-69.673911410000002</v>
      </c>
      <c r="D16" s="8">
        <f t="shared" si="2"/>
        <v>-94.117526049999995</v>
      </c>
      <c r="E16" s="37">
        <f t="shared" si="5"/>
        <v>0.35082879868994565</v>
      </c>
      <c r="H16" s="5" t="s">
        <v>59</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55"/>
    </row>
    <row r="17" spans="1:28" x14ac:dyDescent="0.35">
      <c r="A17" s="1">
        <v>12</v>
      </c>
      <c r="B17" s="5" t="s">
        <v>60</v>
      </c>
      <c r="C17" s="8">
        <f t="shared" si="1"/>
        <v>-2.9431910800000001</v>
      </c>
      <c r="D17" s="8">
        <f t="shared" si="2"/>
        <v>-7.6236350399999973</v>
      </c>
      <c r="E17" s="37">
        <f t="shared" si="5"/>
        <v>1.5902616693170994</v>
      </c>
      <c r="H17" s="5" t="s">
        <v>60</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row>
    <row r="18" spans="1:28" x14ac:dyDescent="0.35">
      <c r="A18" s="1">
        <v>13</v>
      </c>
      <c r="B18" s="5" t="s">
        <v>61</v>
      </c>
      <c r="C18" s="8">
        <f t="shared" si="1"/>
        <v>-21.183902500000002</v>
      </c>
      <c r="D18" s="8">
        <f t="shared" si="2"/>
        <v>-25.186136600000005</v>
      </c>
      <c r="E18" s="37">
        <f t="shared" si="5"/>
        <v>0.18892808348225754</v>
      </c>
      <c r="H18" s="5" t="s">
        <v>61</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row>
    <row r="19" spans="1:28" x14ac:dyDescent="0.35">
      <c r="A19" s="1">
        <v>14</v>
      </c>
      <c r="B19" s="5" t="s">
        <v>62</v>
      </c>
      <c r="C19" s="8">
        <f t="shared" si="1"/>
        <v>-17.519024080000001</v>
      </c>
      <c r="D19" s="8">
        <f t="shared" si="2"/>
        <v>-19.634493191244463</v>
      </c>
      <c r="E19" s="37">
        <f t="shared" si="5"/>
        <v>0.12075268014840601</v>
      </c>
      <c r="H19" s="5" t="s">
        <v>62</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-18.33861169</v>
      </c>
      <c r="X19" s="8">
        <v>-24.002407080000005</v>
      </c>
      <c r="Y19" s="8">
        <v>-12.002000430000004</v>
      </c>
      <c r="Z19" s="8">
        <v>-19.634493191244463</v>
      </c>
    </row>
    <row r="20" spans="1:28" ht="5.25" customHeight="1" x14ac:dyDescent="0.35">
      <c r="A20" s="1">
        <v>15</v>
      </c>
      <c r="E20" s="39"/>
    </row>
    <row r="21" spans="1:28" x14ac:dyDescent="0.35">
      <c r="A21" s="1">
        <v>16</v>
      </c>
      <c r="B21" s="6" t="s">
        <v>63</v>
      </c>
      <c r="C21" s="9">
        <f t="shared" si="1"/>
        <v>181.53457008999996</v>
      </c>
      <c r="D21" s="9">
        <f t="shared" si="2"/>
        <v>182.6666291241975</v>
      </c>
      <c r="E21" s="38">
        <f>D21/C21-1</f>
        <v>6.2360520843842693E-3</v>
      </c>
      <c r="H21" s="6" t="s">
        <v>63</v>
      </c>
      <c r="I21" s="9">
        <f t="shared" ref="I21:Z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198.58701473000002</v>
      </c>
      <c r="V21" s="9">
        <f t="shared" si="6"/>
        <v>181.53457008999996</v>
      </c>
      <c r="W21" s="9">
        <f t="shared" si="6"/>
        <v>196.82424361000002</v>
      </c>
      <c r="X21" s="9">
        <f t="shared" si="6"/>
        <v>206.552835109071</v>
      </c>
      <c r="Y21" s="9">
        <f t="shared" si="6"/>
        <v>172.33773868945599</v>
      </c>
      <c r="Z21" s="9">
        <f t="shared" si="6"/>
        <v>182.6666291241975</v>
      </c>
    </row>
    <row r="22" spans="1:28" ht="5.25" customHeight="1" x14ac:dyDescent="0.35">
      <c r="A22" s="1">
        <v>17</v>
      </c>
      <c r="D22" s="1">
        <f t="shared" si="2"/>
        <v>0</v>
      </c>
      <c r="E22" s="39"/>
    </row>
    <row r="23" spans="1:28" x14ac:dyDescent="0.35">
      <c r="A23" s="1">
        <v>18</v>
      </c>
      <c r="B23" s="5" t="s">
        <v>64</v>
      </c>
      <c r="C23" s="8">
        <f t="shared" si="1"/>
        <v>-15.963176069999999</v>
      </c>
      <c r="D23" s="8">
        <f t="shared" si="2"/>
        <v>-21.544319944213736</v>
      </c>
      <c r="E23" s="36">
        <f>+D23/C23-1</f>
        <v>0.34962615520494844</v>
      </c>
      <c r="H23" s="5" t="s">
        <v>64</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row>
    <row r="24" spans="1:28" x14ac:dyDescent="0.35">
      <c r="A24" s="1">
        <v>19</v>
      </c>
      <c r="B24" s="5" t="s">
        <v>65</v>
      </c>
      <c r="C24" s="8">
        <f t="shared" si="1"/>
        <v>-10.306963700000001</v>
      </c>
      <c r="D24" s="8">
        <f t="shared" si="2"/>
        <v>-14.381759890241124</v>
      </c>
      <c r="E24" s="36">
        <f>+D24/C24-1</f>
        <v>0.39534399352169292</v>
      </c>
      <c r="H24" s="5" t="s">
        <v>65</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-5.2920033700000007</v>
      </c>
      <c r="X24" s="8">
        <v>-8.8666230960603514</v>
      </c>
      <c r="Y24" s="8">
        <v>-13.714933041244359</v>
      </c>
      <c r="Z24" s="8">
        <v>-14.381759890241124</v>
      </c>
    </row>
    <row r="25" spans="1:28" x14ac:dyDescent="0.35">
      <c r="A25" s="1">
        <v>20</v>
      </c>
      <c r="B25" s="5" t="s">
        <v>66</v>
      </c>
      <c r="C25" s="8">
        <f t="shared" si="1"/>
        <v>-60.983484619999999</v>
      </c>
      <c r="D25" s="8">
        <f t="shared" si="2"/>
        <v>-52.134216937046602</v>
      </c>
      <c r="E25" s="36">
        <f t="shared" ref="E25" si="7">+D25/C25-1</f>
        <v>-0.14510924946475112</v>
      </c>
      <c r="H25" s="5" t="s">
        <v>66</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row>
    <row r="26" spans="1:28" ht="5.25" customHeight="1" x14ac:dyDescent="0.35">
      <c r="A26" s="1">
        <v>21</v>
      </c>
      <c r="E26" s="39"/>
    </row>
    <row r="27" spans="1:28" x14ac:dyDescent="0.35">
      <c r="A27" s="1">
        <v>22</v>
      </c>
      <c r="B27" s="6" t="s">
        <v>67</v>
      </c>
      <c r="C27" s="9">
        <f t="shared" si="1"/>
        <v>94.280945699999961</v>
      </c>
      <c r="D27" s="9">
        <f t="shared" si="2"/>
        <v>94.606332352696029</v>
      </c>
      <c r="E27" s="38">
        <f>D27/C27-1</f>
        <v>3.4512451087564955E-3</v>
      </c>
      <c r="H27" s="6" t="s">
        <v>67</v>
      </c>
      <c r="I27" s="9">
        <f t="shared" ref="I27:Z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94.280945699999961</v>
      </c>
      <c r="W27" s="9">
        <f t="shared" si="8"/>
        <v>112.88332715000003</v>
      </c>
      <c r="X27" s="9">
        <f t="shared" si="8"/>
        <v>116.98639696786802</v>
      </c>
      <c r="Y27" s="9">
        <f t="shared" si="8"/>
        <v>81.928218009471976</v>
      </c>
      <c r="Z27" s="9">
        <f t="shared" si="8"/>
        <v>94.606332352696029</v>
      </c>
    </row>
    <row r="28" spans="1:28" ht="5.25" customHeight="1" x14ac:dyDescent="0.35">
      <c r="A28" s="1">
        <v>23</v>
      </c>
      <c r="C28" s="1">
        <f t="shared" si="1"/>
        <v>0</v>
      </c>
      <c r="D28" s="48">
        <f t="shared" si="2"/>
        <v>0</v>
      </c>
      <c r="E28" s="39"/>
      <c r="I28" s="48"/>
      <c r="K28" s="48"/>
      <c r="M28" s="48"/>
      <c r="O28" s="48"/>
      <c r="Q28" s="48"/>
      <c r="R28" s="48"/>
      <c r="S28" s="48"/>
      <c r="T28" s="48"/>
      <c r="U28" s="48"/>
      <c r="V28" s="48"/>
      <c r="W28" s="48"/>
      <c r="X28" s="48"/>
      <c r="Y28" s="48"/>
      <c r="Z28" s="48"/>
    </row>
    <row r="29" spans="1:28" x14ac:dyDescent="0.35">
      <c r="A29" s="1">
        <v>24</v>
      </c>
      <c r="B29" s="6" t="s">
        <v>68</v>
      </c>
      <c r="C29" s="9">
        <f>+HLOOKUP($C$6,$H$6:$AR$46,A29,FALSE)</f>
        <v>155.26443031999995</v>
      </c>
      <c r="D29" s="9">
        <f>+HLOOKUP($D$6,$H$6:$AR$46,A29,FALSE)</f>
        <v>146.74054928974263</v>
      </c>
      <c r="E29" s="38">
        <f>D29/C29-1</f>
        <v>-5.4899122823492741E-2</v>
      </c>
      <c r="H29" s="6" t="s">
        <v>68</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155.26443031999995</v>
      </c>
      <c r="W29" s="9">
        <f t="shared" si="9"/>
        <v>174.98602269000003</v>
      </c>
      <c r="X29" s="9">
        <f t="shared" si="9"/>
        <v>179.941798807868</v>
      </c>
      <c r="Y29" s="9">
        <f>+Y21+Y23+Y24</f>
        <v>137.35431132242536</v>
      </c>
      <c r="Z29" s="9">
        <f>+'[1]EERR Cons.'!BO30-'[1]EERR Cons.'!BO28</f>
        <v>146.74054928974263</v>
      </c>
      <c r="AA29" s="54"/>
      <c r="AB29" s="93"/>
    </row>
    <row r="30" spans="1:28" ht="5.25" customHeight="1" x14ac:dyDescent="0.35">
      <c r="A30" s="1">
        <v>25</v>
      </c>
      <c r="E30" s="39"/>
    </row>
    <row r="31" spans="1:28" x14ac:dyDescent="0.35">
      <c r="A31" s="1">
        <v>26</v>
      </c>
      <c r="B31" s="5" t="s">
        <v>69</v>
      </c>
      <c r="C31" s="8">
        <f t="shared" si="1"/>
        <v>2.9650799699999997</v>
      </c>
      <c r="D31" s="8">
        <f t="shared" si="2"/>
        <v>1.1247754999999995</v>
      </c>
      <c r="E31" s="36">
        <f>+D31/C31-1</f>
        <v>-0.62065930383658441</v>
      </c>
      <c r="F31" s="33"/>
      <c r="G31" s="33"/>
      <c r="H31" s="5" t="s">
        <v>69</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33"/>
      <c r="AB31" s="33"/>
    </row>
    <row r="32" spans="1:28" x14ac:dyDescent="0.35">
      <c r="A32" s="1">
        <v>27</v>
      </c>
      <c r="B32" s="5" t="s">
        <v>70</v>
      </c>
      <c r="C32" s="8">
        <f t="shared" si="1"/>
        <v>-22.69825814</v>
      </c>
      <c r="D32" s="8">
        <f t="shared" si="2"/>
        <v>-21.403158571518993</v>
      </c>
      <c r="E32" s="36">
        <f t="shared" ref="E32:E35" si="10">+D32/C32-1</f>
        <v>-5.7057222650874651E-2</v>
      </c>
      <c r="F32" s="33"/>
      <c r="G32" s="33"/>
      <c r="H32" s="5" t="s">
        <v>70</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33"/>
      <c r="AB32" s="33"/>
    </row>
    <row r="33" spans="1:28" x14ac:dyDescent="0.35">
      <c r="A33" s="1">
        <v>28</v>
      </c>
      <c r="B33" s="5" t="s">
        <v>71</v>
      </c>
      <c r="C33" s="8">
        <f t="shared" si="1"/>
        <v>4.9067024800000008</v>
      </c>
      <c r="D33" s="8">
        <f t="shared" si="2"/>
        <v>0.66380102249709749</v>
      </c>
      <c r="E33" s="81" t="s">
        <v>44</v>
      </c>
      <c r="F33" s="33"/>
      <c r="G33" s="33"/>
      <c r="H33" s="5" t="s">
        <v>71</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33"/>
      <c r="AB33" s="33"/>
    </row>
    <row r="34" spans="1:28" x14ac:dyDescent="0.35">
      <c r="A34" s="1">
        <v>29</v>
      </c>
      <c r="B34" s="5" t="s">
        <v>72</v>
      </c>
      <c r="C34" s="8">
        <f t="shared" si="1"/>
        <v>2.14213787</v>
      </c>
      <c r="D34" s="8">
        <f t="shared" si="2"/>
        <v>1.9524835000000005</v>
      </c>
      <c r="E34" s="36">
        <f t="shared" si="10"/>
        <v>-8.8535090414138207E-2</v>
      </c>
      <c r="F34" s="33"/>
      <c r="G34" s="33"/>
      <c r="H34" s="5" t="s">
        <v>72</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33"/>
      <c r="AB34" s="33"/>
    </row>
    <row r="35" spans="1:28" x14ac:dyDescent="0.35">
      <c r="A35" s="1">
        <v>30</v>
      </c>
      <c r="B35" s="5" t="s">
        <v>73</v>
      </c>
      <c r="C35" s="8">
        <f t="shared" si="1"/>
        <v>-9.4264486699999992</v>
      </c>
      <c r="D35" s="8">
        <f t="shared" si="2"/>
        <v>-22.663534266708815</v>
      </c>
      <c r="E35" s="36">
        <f t="shared" si="10"/>
        <v>1.4042494750792311</v>
      </c>
      <c r="F35" s="33"/>
      <c r="G35" s="33"/>
      <c r="H35" s="5" t="s">
        <v>73</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33"/>
      <c r="AB35" s="33"/>
    </row>
    <row r="36" spans="1:28" ht="5.25" customHeight="1" x14ac:dyDescent="0.35">
      <c r="A36" s="1">
        <v>31</v>
      </c>
      <c r="E36" s="39"/>
    </row>
    <row r="37" spans="1:28" x14ac:dyDescent="0.35">
      <c r="A37" s="1">
        <v>32</v>
      </c>
      <c r="B37" s="6" t="s">
        <v>74</v>
      </c>
      <c r="C37" s="9">
        <f t="shared" si="1"/>
        <v>-22.110786490000002</v>
      </c>
      <c r="D37" s="9">
        <f t="shared" si="2"/>
        <v>-40.325632815730714</v>
      </c>
      <c r="E37" s="38">
        <f>D37/C37-1</f>
        <v>0.82379911424537977</v>
      </c>
      <c r="F37" s="33"/>
      <c r="G37" s="33"/>
      <c r="H37" s="6" t="s">
        <v>74</v>
      </c>
      <c r="I37" s="9">
        <f t="shared" ref="I37:Z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9">
        <f t="shared" si="11"/>
        <v>-40.325632815730714</v>
      </c>
      <c r="AA37" s="33"/>
      <c r="AB37" s="33"/>
    </row>
    <row r="38" spans="1:28" ht="5.25" customHeight="1" x14ac:dyDescent="0.35">
      <c r="A38" s="1">
        <v>33</v>
      </c>
      <c r="E38" s="39"/>
    </row>
    <row r="39" spans="1:28" x14ac:dyDescent="0.35">
      <c r="A39" s="1">
        <v>34</v>
      </c>
      <c r="B39" s="6" t="s">
        <v>75</v>
      </c>
      <c r="C39" s="9">
        <f t="shared" si="1"/>
        <v>72.170159209999952</v>
      </c>
      <c r="D39" s="9">
        <f t="shared" si="2"/>
        <v>54.280699536965315</v>
      </c>
      <c r="E39" s="62">
        <f>D39/C39-1</f>
        <v>-0.24787889993397516</v>
      </c>
      <c r="F39" s="33"/>
      <c r="G39" s="33"/>
      <c r="H39" s="6" t="s">
        <v>75</v>
      </c>
      <c r="I39" s="9">
        <f t="shared" ref="I39:Z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72.170159209999952</v>
      </c>
      <c r="W39" s="9">
        <f t="shared" si="12"/>
        <v>88.036666690000018</v>
      </c>
      <c r="X39" s="9">
        <f t="shared" si="12"/>
        <v>-90.400496469067434</v>
      </c>
      <c r="Y39" s="9">
        <f t="shared" si="12"/>
        <v>38.062314036447056</v>
      </c>
      <c r="Z39" s="9">
        <f t="shared" si="12"/>
        <v>54.280699536965315</v>
      </c>
      <c r="AA39" s="33"/>
      <c r="AB39" s="33"/>
    </row>
    <row r="40" spans="1:28" ht="5.25" customHeight="1" x14ac:dyDescent="0.35">
      <c r="A40" s="1">
        <v>35</v>
      </c>
      <c r="E40" s="39"/>
    </row>
    <row r="41" spans="1:28" x14ac:dyDescent="0.35">
      <c r="A41" s="1">
        <v>36</v>
      </c>
      <c r="B41" s="5" t="s">
        <v>76</v>
      </c>
      <c r="C41" s="8">
        <f t="shared" si="1"/>
        <v>-22.502922009999999</v>
      </c>
      <c r="D41" s="8">
        <f t="shared" si="2"/>
        <v>-21.395758066124547</v>
      </c>
      <c r="E41" s="64">
        <f>D41/C41-1</f>
        <v>-4.9200896816130935E-2</v>
      </c>
      <c r="F41" s="33"/>
      <c r="G41" s="33"/>
      <c r="H41" s="5" t="s">
        <v>76</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33"/>
      <c r="AB41" s="33"/>
    </row>
    <row r="42" spans="1:28" ht="6.75" customHeight="1" x14ac:dyDescent="0.35">
      <c r="A42" s="1">
        <v>37</v>
      </c>
      <c r="E42" s="39"/>
    </row>
    <row r="43" spans="1:28" x14ac:dyDescent="0.35">
      <c r="A43" s="1">
        <v>38</v>
      </c>
      <c r="B43" s="3" t="s">
        <v>77</v>
      </c>
      <c r="C43" s="10">
        <f t="shared" si="1"/>
        <v>49.667237199999953</v>
      </c>
      <c r="D43" s="17">
        <f t="shared" si="2"/>
        <v>32.884941470840772</v>
      </c>
      <c r="E43" s="87" t="s">
        <v>44</v>
      </c>
      <c r="F43" s="33"/>
      <c r="G43" s="33"/>
      <c r="H43" s="3" t="s">
        <v>77</v>
      </c>
      <c r="I43" s="10">
        <f t="shared" ref="I43:Z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49.667237199999953</v>
      </c>
      <c r="W43" s="10">
        <f t="shared" si="13"/>
        <v>62.207152130000019</v>
      </c>
      <c r="X43" s="17">
        <f t="shared" si="13"/>
        <v>-62.882355463006242</v>
      </c>
      <c r="Y43" s="17">
        <f t="shared" si="13"/>
        <v>-41.216113527428398</v>
      </c>
      <c r="Z43" s="17">
        <f t="shared" si="13"/>
        <v>32.884941470840772</v>
      </c>
      <c r="AA43" s="33"/>
      <c r="AB43" s="33"/>
    </row>
    <row r="44" spans="1:28" ht="5.25" customHeight="1" x14ac:dyDescent="0.35">
      <c r="A44" s="1">
        <v>39</v>
      </c>
      <c r="E44" s="39"/>
    </row>
    <row r="45" spans="1:28" x14ac:dyDescent="0.35">
      <c r="A45" s="1">
        <v>40</v>
      </c>
      <c r="B45" s="5" t="s">
        <v>78</v>
      </c>
      <c r="C45" s="8">
        <f t="shared" si="1"/>
        <v>54.130137500000004</v>
      </c>
      <c r="D45" s="8">
        <f t="shared" si="2"/>
        <v>35.09246243742836</v>
      </c>
      <c r="E45" s="64" t="s">
        <v>44</v>
      </c>
      <c r="F45" s="33"/>
      <c r="G45" s="33"/>
      <c r="H45" s="5" t="s">
        <v>78</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row>
    <row r="46" spans="1:28" x14ac:dyDescent="0.35">
      <c r="A46" s="1">
        <v>41</v>
      </c>
      <c r="B46" s="5" t="s">
        <v>79</v>
      </c>
      <c r="C46" s="8">
        <f>+HLOOKUP($C$6,$H$6:$AR$46,A46,FALSE)</f>
        <v>-4.4629003100000002</v>
      </c>
      <c r="D46" s="8">
        <f t="shared" si="2"/>
        <v>-2.2075209600000001</v>
      </c>
      <c r="E46" s="64" t="s">
        <v>44</v>
      </c>
      <c r="F46" s="33"/>
      <c r="G46" s="33"/>
      <c r="H46" s="5" t="s">
        <v>79</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row>
    <row r="48" spans="1:28" x14ac:dyDescent="0.35">
      <c r="I48" s="33"/>
      <c r="J48" s="33"/>
      <c r="K48" s="33"/>
      <c r="L48" s="33"/>
      <c r="M48" s="33"/>
      <c r="N48" s="33"/>
      <c r="O48" s="33"/>
      <c r="S48" s="33"/>
      <c r="T48" s="33"/>
      <c r="U48" s="33"/>
      <c r="V48" s="33"/>
      <c r="W48" s="33"/>
      <c r="X48" s="33"/>
      <c r="Y48" s="33"/>
      <c r="Z48" s="33"/>
    </row>
    <row r="49" spans="2:5" ht="76.5" customHeight="1" x14ac:dyDescent="0.35">
      <c r="B49" s="102" t="s">
        <v>131</v>
      </c>
      <c r="C49" s="102"/>
      <c r="D49" s="102"/>
      <c r="E49" s="102"/>
    </row>
    <row r="50" spans="2:5" ht="207" customHeight="1" x14ac:dyDescent="0.35">
      <c r="B50" s="102"/>
      <c r="C50" s="102"/>
      <c r="D50" s="102"/>
      <c r="E50" s="102"/>
    </row>
  </sheetData>
  <mergeCells count="23">
    <mergeCell ref="Z6:Z7"/>
    <mergeCell ref="N6:N7"/>
    <mergeCell ref="Y6:Y7"/>
    <mergeCell ref="W6:W7"/>
    <mergeCell ref="V6:V7"/>
    <mergeCell ref="U6:U7"/>
    <mergeCell ref="T6:T7"/>
    <mergeCell ref="O6:O7"/>
    <mergeCell ref="S6:S7"/>
    <mergeCell ref="X6:X7"/>
    <mergeCell ref="R6:R7"/>
    <mergeCell ref="P6:P7"/>
    <mergeCell ref="Q6:Q7"/>
    <mergeCell ref="K6:K7"/>
    <mergeCell ref="L6:L7"/>
    <mergeCell ref="M6:M7"/>
    <mergeCell ref="B50:E50"/>
    <mergeCell ref="I6:I7"/>
    <mergeCell ref="J6:J7"/>
    <mergeCell ref="C6:C7"/>
    <mergeCell ref="D6:D7"/>
    <mergeCell ref="E6:E7"/>
    <mergeCell ref="B49:E49"/>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M91"/>
  <sheetViews>
    <sheetView topLeftCell="B31" zoomScaleNormal="100" zoomScaleSheetLayoutView="100" workbookViewId="0">
      <selection activeCell="D28" sqref="D28"/>
    </sheetView>
  </sheetViews>
  <sheetFormatPr baseColWidth="10" defaultColWidth="11.44140625" defaultRowHeight="14.4" x14ac:dyDescent="0.35"/>
  <cols>
    <col min="1" max="1" width="0" style="1" hidden="1" customWidth="1"/>
    <col min="2" max="2" width="38.5546875" style="1" customWidth="1"/>
    <col min="3" max="7" width="11.44140625" style="1"/>
    <col min="8" max="8" width="42.33203125" style="1" customWidth="1"/>
    <col min="9" max="36" width="11.44140625" style="1" customWidth="1"/>
    <col min="37" max="16384" width="11.44140625" style="1"/>
  </cols>
  <sheetData>
    <row r="5" spans="2:39" ht="23.4" x14ac:dyDescent="0.45">
      <c r="B5" s="12" t="s">
        <v>80</v>
      </c>
      <c r="C5" s="13"/>
      <c r="D5" s="13"/>
      <c r="E5" s="13"/>
      <c r="H5" s="12" t="s">
        <v>81</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row>
    <row r="7" spans="2:39" x14ac:dyDescent="0.35">
      <c r="B7" s="3" t="s">
        <v>84</v>
      </c>
      <c r="C7" s="100" t="s">
        <v>130</v>
      </c>
      <c r="D7" s="100" t="s">
        <v>144</v>
      </c>
      <c r="E7" s="100" t="s">
        <v>83</v>
      </c>
      <c r="H7" s="3" t="s">
        <v>84</v>
      </c>
      <c r="I7" s="74" t="s">
        <v>6</v>
      </c>
      <c r="J7" s="74" t="s">
        <v>7</v>
      </c>
      <c r="K7" s="74" t="s">
        <v>8</v>
      </c>
      <c r="L7" s="74" t="s">
        <v>9</v>
      </c>
      <c r="M7" s="74" t="s">
        <v>10</v>
      </c>
      <c r="N7" s="74" t="s">
        <v>11</v>
      </c>
      <c r="O7" s="74" t="s">
        <v>12</v>
      </c>
      <c r="P7" s="74" t="s">
        <v>13</v>
      </c>
      <c r="Q7" s="74" t="s">
        <v>14</v>
      </c>
      <c r="R7" s="74" t="s">
        <v>15</v>
      </c>
      <c r="S7" s="74" t="s">
        <v>16</v>
      </c>
      <c r="T7" s="74" t="s">
        <v>17</v>
      </c>
      <c r="U7" s="100" t="s">
        <v>18</v>
      </c>
      <c r="V7" s="100" t="s">
        <v>19</v>
      </c>
      <c r="W7" s="100" t="s">
        <v>20</v>
      </c>
      <c r="X7" s="100" t="s">
        <v>21</v>
      </c>
      <c r="Y7" s="100" t="s">
        <v>22</v>
      </c>
      <c r="Z7" s="100" t="s">
        <v>23</v>
      </c>
      <c r="AA7" s="100" t="s">
        <v>24</v>
      </c>
      <c r="AB7" s="100" t="s">
        <v>2</v>
      </c>
      <c r="AC7" s="100" t="s">
        <v>25</v>
      </c>
      <c r="AD7" s="100" t="s">
        <v>26</v>
      </c>
      <c r="AE7" s="100" t="s">
        <v>27</v>
      </c>
      <c r="AF7" s="100" t="s">
        <v>3</v>
      </c>
      <c r="AG7" s="100" t="s">
        <v>128</v>
      </c>
      <c r="AH7" s="100" t="s">
        <v>130</v>
      </c>
      <c r="AI7" s="100" t="s">
        <v>139</v>
      </c>
      <c r="AJ7" s="100" t="s">
        <v>141</v>
      </c>
      <c r="AK7" s="100" t="s">
        <v>143</v>
      </c>
      <c r="AL7" s="100" t="s">
        <v>144</v>
      </c>
    </row>
    <row r="8" spans="2:39" x14ac:dyDescent="0.35">
      <c r="B8" s="3" t="s">
        <v>52</v>
      </c>
      <c r="C8" s="100"/>
      <c r="D8" s="100"/>
      <c r="E8" s="100"/>
      <c r="H8" s="3" t="s">
        <v>52</v>
      </c>
      <c r="I8" s="74"/>
      <c r="J8" s="74"/>
      <c r="K8" s="74"/>
      <c r="L8" s="74"/>
      <c r="M8" s="74"/>
      <c r="N8" s="74"/>
      <c r="O8" s="74"/>
      <c r="P8" s="74"/>
      <c r="Q8" s="74"/>
      <c r="R8" s="74"/>
      <c r="S8" s="74"/>
      <c r="T8" s="74"/>
      <c r="U8" s="100"/>
      <c r="V8" s="100"/>
      <c r="W8" s="100"/>
      <c r="X8" s="100"/>
      <c r="Y8" s="100"/>
      <c r="Z8" s="100"/>
      <c r="AA8" s="100"/>
      <c r="AB8" s="100"/>
      <c r="AC8" s="100"/>
      <c r="AD8" s="100"/>
      <c r="AE8" s="100"/>
      <c r="AF8" s="100"/>
      <c r="AG8" s="100"/>
      <c r="AH8" s="100"/>
      <c r="AI8" s="100"/>
      <c r="AJ8" s="100"/>
      <c r="AK8" s="100"/>
      <c r="AL8" s="100"/>
    </row>
    <row r="10" spans="2:39" x14ac:dyDescent="0.35">
      <c r="B10" s="2" t="s">
        <v>84</v>
      </c>
      <c r="C10" s="9">
        <f>+SUM(C11:C15)</f>
        <v>271.96490716</v>
      </c>
      <c r="D10" s="9">
        <f>SUM(D11:D15)</f>
        <v>322.26952722544206</v>
      </c>
      <c r="E10" s="38">
        <f t="shared" ref="E10:E33" si="0">D10/C10-1</f>
        <v>0.18496732019858464</v>
      </c>
      <c r="H10" s="2" t="s">
        <v>84</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9">
        <f>SUM(AL11:AL15)</f>
        <v>332.30324994544213</v>
      </c>
      <c r="AM10" s="53"/>
    </row>
    <row r="11" spans="2:39" x14ac:dyDescent="0.35">
      <c r="B11" s="5" t="s">
        <v>85</v>
      </c>
      <c r="C11" s="7">
        <v>70.597202500000009</v>
      </c>
      <c r="D11" s="7">
        <v>88.743230329999989</v>
      </c>
      <c r="E11" s="36">
        <f t="shared" si="0"/>
        <v>0.25703607490679214</v>
      </c>
      <c r="H11" s="5" t="s">
        <v>85</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166.6-AB64</f>
        <v>142.62038269999999</v>
      </c>
      <c r="AC11" s="7">
        <f>148-AC64</f>
        <v>120.40774446</v>
      </c>
      <c r="AD11" s="7">
        <v>121.72846186000001</v>
      </c>
      <c r="AE11" s="7">
        <v>122.14336145000004</v>
      </c>
      <c r="AF11" s="7">
        <f>133.84807263-AF64</f>
        <v>104.94583419999999</v>
      </c>
      <c r="AG11" s="7">
        <f>114.6884281-AG64</f>
        <v>85.40246028</v>
      </c>
      <c r="AH11" s="7">
        <f>95.65596281-AH64</f>
        <v>70.597202500000009</v>
      </c>
      <c r="AI11" s="7">
        <f>117.68062571-AI64</f>
        <v>90.903762</v>
      </c>
      <c r="AJ11" s="7">
        <f>110.34880305-AJ64</f>
        <v>82.93251309</v>
      </c>
      <c r="AK11" s="7">
        <f>107.74954268-AK64</f>
        <v>80.394318520000013</v>
      </c>
      <c r="AL11" s="7">
        <f>114.87748868-AL64</f>
        <v>88.743230329999989</v>
      </c>
      <c r="AM11" s="53"/>
    </row>
    <row r="12" spans="2:39" x14ac:dyDescent="0.35">
      <c r="B12" s="5" t="s">
        <v>86</v>
      </c>
      <c r="C12" s="7">
        <v>167.39293016000002</v>
      </c>
      <c r="D12" s="7">
        <v>162.52249409000001</v>
      </c>
      <c r="E12" s="36">
        <f t="shared" si="0"/>
        <v>-2.9095828989579631E-2</v>
      </c>
      <c r="H12" s="5" t="s">
        <v>86</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180-AB65</f>
        <v>173.02595392000001</v>
      </c>
      <c r="AC12" s="7">
        <f>164-AC65</f>
        <v>155.65650081000001</v>
      </c>
      <c r="AD12" s="7">
        <v>157.80371734000002</v>
      </c>
      <c r="AE12" s="7">
        <v>180.18419281999999</v>
      </c>
      <c r="AF12" s="7">
        <f>186.49362536-AF65</f>
        <v>178.32125483999999</v>
      </c>
      <c r="AG12" s="7">
        <f>168.538033-AG65</f>
        <v>163.07983377000002</v>
      </c>
      <c r="AH12" s="7">
        <f>171.75554184-AH65</f>
        <v>167.39293016000002</v>
      </c>
      <c r="AI12" s="7">
        <f>169.27509729-AI65</f>
        <v>162.71134824999999</v>
      </c>
      <c r="AJ12" s="7">
        <f>188.34526278-AJ65</f>
        <v>182.34156679</v>
      </c>
      <c r="AK12" s="7">
        <f>166.75441463-AK65</f>
        <v>160.15493628000002</v>
      </c>
      <c r="AL12" s="7">
        <f>168.30556543-AL65</f>
        <v>162.52249409000001</v>
      </c>
      <c r="AM12" s="53"/>
    </row>
    <row r="13" spans="2:39" x14ac:dyDescent="0.35">
      <c r="B13" s="5" t="s">
        <v>87</v>
      </c>
      <c r="C13" s="7">
        <v>27.08840919</v>
      </c>
      <c r="D13" s="7">
        <v>59.43367155</v>
      </c>
      <c r="E13" s="36">
        <f t="shared" si="0"/>
        <v>1.194062823443343</v>
      </c>
      <c r="H13" s="5" t="s">
        <v>87</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16.75352979-AB66</f>
        <v>10.462075560000002</v>
      </c>
      <c r="AC13" s="7">
        <f>52.6-AC66</f>
        <v>47.765560749999999</v>
      </c>
      <c r="AD13" s="7">
        <v>43.158053299999992</v>
      </c>
      <c r="AE13" s="7">
        <v>6.1860102600000033</v>
      </c>
      <c r="AF13" s="7">
        <f>7.57846146216136-AF66</f>
        <v>4.5668948321613598</v>
      </c>
      <c r="AG13" s="7">
        <f>37.90068371-AG66</f>
        <v>36.242600600000003</v>
      </c>
      <c r="AH13" s="7">
        <f>31.0031451-AH66</f>
        <v>27.08840919</v>
      </c>
      <c r="AI13" s="7">
        <f>38.46334234-AI66</f>
        <v>30.277005829999997</v>
      </c>
      <c r="AJ13" s="7">
        <f>24.28213842-AJ66</f>
        <v>15.143313109999999</v>
      </c>
      <c r="AK13" s="7">
        <f>27.35959185-AK66</f>
        <v>24.850406810000003</v>
      </c>
      <c r="AL13" s="7">
        <f>66.13655664-AL66</f>
        <v>59.43367155</v>
      </c>
      <c r="AM13" s="92"/>
    </row>
    <row r="14" spans="2:39" x14ac:dyDescent="0.35">
      <c r="B14" s="5" t="s">
        <v>57</v>
      </c>
      <c r="C14" s="57"/>
      <c r="D14" s="44"/>
      <c r="E14" s="36"/>
      <c r="H14" s="5" t="s">
        <v>57</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10.45666325-AC67</f>
        <v>10.45666325</v>
      </c>
      <c r="AD14" s="7">
        <v>18.083903670000005</v>
      </c>
      <c r="AE14" s="7">
        <v>20.128161159999998</v>
      </c>
      <c r="AF14" s="7">
        <f>12.92461491-AF67</f>
        <v>12.924614910000001</v>
      </c>
      <c r="AG14" s="7">
        <f>15.14027786-AG67</f>
        <v>15.140277859999999</v>
      </c>
      <c r="AH14" s="7">
        <v>19.754234069999995</v>
      </c>
      <c r="AI14" s="7">
        <v>14.265083909999994</v>
      </c>
      <c r="AJ14" s="7">
        <v>6.129047700000001</v>
      </c>
      <c r="AK14" s="7">
        <f>26.02272966-AK67</f>
        <v>26.02272966</v>
      </c>
      <c r="AL14" s="7">
        <v>12.942616790000017</v>
      </c>
      <c r="AM14" s="53"/>
    </row>
    <row r="15" spans="2:39" x14ac:dyDescent="0.35">
      <c r="B15" s="5" t="s">
        <v>55</v>
      </c>
      <c r="C15" s="7">
        <v>6.8863653100000013</v>
      </c>
      <c r="D15" s="7">
        <v>11.57013125544206</v>
      </c>
      <c r="E15" s="36">
        <f t="shared" si="0"/>
        <v>0.68015066505991939</v>
      </c>
      <c r="H15" s="5" t="s">
        <v>55</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7.3-AB68</f>
        <v>6.1594894999999994</v>
      </c>
      <c r="AC15" s="7">
        <f>8-AC68</f>
        <v>6.8099185100000001</v>
      </c>
      <c r="AD15" s="7">
        <v>8.3892136199999996</v>
      </c>
      <c r="AE15" s="7">
        <v>7.476970470000003</v>
      </c>
      <c r="AF15" s="7">
        <f>11.22495761-AF68</f>
        <v>3.9962841899999999</v>
      </c>
      <c r="AG15" s="7">
        <f>6.34286927-AG68</f>
        <v>5.0632197199999993</v>
      </c>
      <c r="AH15" s="7">
        <f>8.34545564-AH68</f>
        <v>6.8914756700000011</v>
      </c>
      <c r="AI15" s="7">
        <f>4.31825038-AI68</f>
        <v>2.9556421200000003</v>
      </c>
      <c r="AJ15" s="7">
        <f>6.63551003907104-AJ68</f>
        <v>5.1155398490710393</v>
      </c>
      <c r="AK15" s="7">
        <f>7.69899216945612-AK68</f>
        <v>6.2033284094561196</v>
      </c>
      <c r="AL15" s="7">
        <f>9.90659021544207-AL68</f>
        <v>8.6612371854420704</v>
      </c>
      <c r="AM15" s="53"/>
    </row>
    <row r="16" spans="2:39" x14ac:dyDescent="0.35">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53"/>
    </row>
    <row r="17" spans="2:39" x14ac:dyDescent="0.35">
      <c r="B17" s="2" t="s">
        <v>88</v>
      </c>
      <c r="C17" s="9">
        <f t="shared" ref="C17" si="2">SUM(C18:C23)</f>
        <v>-125.02579360000001</v>
      </c>
      <c r="D17" s="9">
        <f t="shared" ref="D17" si="3">SUM(D18:D23)</f>
        <v>-174.63671665124437</v>
      </c>
      <c r="E17" s="38">
        <f>D17/C17-1</f>
        <v>0.39680550407035642</v>
      </c>
      <c r="H17" s="2" t="s">
        <v>88</v>
      </c>
      <c r="I17" s="9">
        <f t="shared" ref="I17:AJ17" si="4">SUM(I18:I23)</f>
        <v>-275.35129532000002</v>
      </c>
      <c r="J17" s="9">
        <f t="shared" si="4"/>
        <v>-245.57660835000001</v>
      </c>
      <c r="K17" s="9">
        <f t="shared" si="4"/>
        <v>-213.76067669000003</v>
      </c>
      <c r="L17" s="9">
        <f t="shared" si="4"/>
        <v>-149.01963957999999</v>
      </c>
      <c r="M17" s="9">
        <f t="shared" si="4"/>
        <v>-205.1628939</v>
      </c>
      <c r="N17" s="9">
        <f t="shared" si="4"/>
        <v>-201.26569451</v>
      </c>
      <c r="O17" s="9">
        <f t="shared" si="4"/>
        <v>-136.02479528999999</v>
      </c>
      <c r="P17" s="9">
        <f t="shared" si="4"/>
        <v>-98.7</v>
      </c>
      <c r="Q17" s="9">
        <f t="shared" si="4"/>
        <v>-132.75843111</v>
      </c>
      <c r="R17" s="9">
        <f t="shared" si="4"/>
        <v>-150.15819938999999</v>
      </c>
      <c r="S17" s="9">
        <f t="shared" si="4"/>
        <v>-154.75086822</v>
      </c>
      <c r="T17" s="9">
        <f t="shared" si="4"/>
        <v>-142.57810221000003</v>
      </c>
      <c r="U17" s="9">
        <f t="shared" si="4"/>
        <v>-167.26441367999999</v>
      </c>
      <c r="V17" s="9">
        <f t="shared" si="4"/>
        <v>-175.75027431000001</v>
      </c>
      <c r="W17" s="9">
        <f t="shared" si="4"/>
        <v>-147.17653369000001</v>
      </c>
      <c r="X17" s="9">
        <f t="shared" si="4"/>
        <v>-124.09420446999999</v>
      </c>
      <c r="Y17" s="9">
        <f t="shared" si="4"/>
        <v>-173.83893678999999</v>
      </c>
      <c r="Z17" s="9">
        <f t="shared" si="4"/>
        <v>-181.13288132</v>
      </c>
      <c r="AA17" s="9">
        <f t="shared" si="4"/>
        <v>-146.27714492000001</v>
      </c>
      <c r="AB17" s="9">
        <f t="shared" si="4"/>
        <v>-116.73437586999998</v>
      </c>
      <c r="AC17" s="9">
        <f t="shared" si="4"/>
        <v>-170.47125767000003</v>
      </c>
      <c r="AD17" s="9">
        <f t="shared" si="4"/>
        <v>-170.79738747000002</v>
      </c>
      <c r="AE17" s="9">
        <f t="shared" si="4"/>
        <v>-152.53082833000002</v>
      </c>
      <c r="AF17" s="9">
        <f t="shared" si="4"/>
        <v>-117.26530571084766</v>
      </c>
      <c r="AG17" s="9">
        <f t="shared" si="4"/>
        <v>-128.9747912</v>
      </c>
      <c r="AH17" s="9">
        <f t="shared" si="4"/>
        <v>-125.15747811000001</v>
      </c>
      <c r="AI17" s="9">
        <f t="shared" si="4"/>
        <v>-122.0033555</v>
      </c>
      <c r="AJ17" s="9">
        <f t="shared" si="4"/>
        <v>-103.64530324</v>
      </c>
      <c r="AK17" s="9">
        <f>+SUM(AK18:AK23)</f>
        <v>-145.81400551999999</v>
      </c>
      <c r="AL17" s="9">
        <f>+SUM(AL18:AL23)</f>
        <v>-167.42303975124452</v>
      </c>
      <c r="AM17" s="53"/>
    </row>
    <row r="18" spans="2:39" x14ac:dyDescent="0.35">
      <c r="B18" s="5" t="s">
        <v>57</v>
      </c>
      <c r="C18" s="44">
        <v>-25.980929900000003</v>
      </c>
      <c r="D18" s="44">
        <v>-36.579687749999998</v>
      </c>
      <c r="E18" s="36">
        <f t="shared" si="0"/>
        <v>0.40794374530836142</v>
      </c>
      <c r="H18" s="5" t="s">
        <v>57</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+-32.17954707-AB71</f>
        <v>-32.179547069999998</v>
      </c>
      <c r="AC18" s="44">
        <f>+-32.9777754-AC71</f>
        <v>-32.4816121</v>
      </c>
      <c r="AD18" s="44">
        <f>+-34.29679217-AD71</f>
        <v>-33.566455930000004</v>
      </c>
      <c r="AE18" s="44">
        <v>-49.28598399000002</v>
      </c>
      <c r="AF18" s="44">
        <f>+-20.88005158-AF71</f>
        <v>-19.960651899999998</v>
      </c>
      <c r="AG18" s="44">
        <f>+-21.55022939-AG71</f>
        <v>-20.850229389999999</v>
      </c>
      <c r="AH18" s="44">
        <f>+-26.60999613-AH71</f>
        <v>-24.390609949999998</v>
      </c>
      <c r="AI18" s="44">
        <f>+-26.50304141-AI71</f>
        <v>-25.258113340000001</v>
      </c>
      <c r="AJ18" s="44">
        <f>+-38.09702692-AJ71</f>
        <v>-36.941916479999996</v>
      </c>
      <c r="AK18" s="44">
        <f>+-31.25610667-AK71</f>
        <v>-30.835691730000001</v>
      </c>
      <c r="AL18" s="44">
        <f>+-29.58127099-AL71</f>
        <v>-28.252165179999999</v>
      </c>
      <c r="AM18" s="53"/>
    </row>
    <row r="19" spans="2:39" x14ac:dyDescent="0.35">
      <c r="B19" s="5" t="s">
        <v>58</v>
      </c>
      <c r="C19" s="44">
        <v>-6.5616336200000003</v>
      </c>
      <c r="D19" s="44">
        <v>-12.663205760000004</v>
      </c>
      <c r="E19" s="36">
        <f t="shared" si="0"/>
        <v>0.92988613710498558</v>
      </c>
      <c r="H19" s="5" t="s">
        <v>58</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+-10.25707385-AB72</f>
        <v>-10.25332315</v>
      </c>
      <c r="AC19" s="44">
        <f>+-2.75986665-AC72</f>
        <v>-2.4879566200000003</v>
      </c>
      <c r="AD19" s="44">
        <f>+-13.18502617-AD72</f>
        <v>-12.817846660000001</v>
      </c>
      <c r="AE19" s="44">
        <v>-30.11858333</v>
      </c>
      <c r="AF19" s="44">
        <f>+-18.77742197-AF72</f>
        <v>-18.427504539999997</v>
      </c>
      <c r="AG19" s="44">
        <f>+-15.50763813-AG72</f>
        <v>-14.207638129999999</v>
      </c>
      <c r="AH19" s="44">
        <f>+-7.04974417-AH72</f>
        <v>-6.5616336200000003</v>
      </c>
      <c r="AI19" s="44">
        <f>+-8.86610442-AI72</f>
        <v>-8.8063862099999994</v>
      </c>
      <c r="AJ19" s="44">
        <f>+-22.67480489-AJ72</f>
        <v>-22.67467628</v>
      </c>
      <c r="AK19" s="44">
        <f>+-15.90505726-AK72</f>
        <v>-15.520190899999999</v>
      </c>
      <c r="AL19" s="44">
        <f>+-13.35912676-AL72</f>
        <v>-12.552627950000002</v>
      </c>
      <c r="AM19" s="53"/>
    </row>
    <row r="20" spans="2:39" x14ac:dyDescent="0.35">
      <c r="B20" s="5" t="s">
        <v>59</v>
      </c>
      <c r="C20" s="44">
        <v>-55.093791429999989</v>
      </c>
      <c r="D20" s="44">
        <v>-76.862570170000012</v>
      </c>
      <c r="E20" s="36">
        <f t="shared" si="0"/>
        <v>0.39512217574749009</v>
      </c>
      <c r="H20" s="5" t="s">
        <v>59</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+-51.49424782-AB73</f>
        <v>-26.208514819999998</v>
      </c>
      <c r="AC20" s="44">
        <f>+-103.54780074-AC73</f>
        <v>-83.935614360000002</v>
      </c>
      <c r="AD20" s="44">
        <f>+-95.37933399-AD73</f>
        <v>-79.202876680000003</v>
      </c>
      <c r="AE20" s="44">
        <v>-48.18053414000002</v>
      </c>
      <c r="AF20" s="44">
        <f>+-64.13887255-AF73</f>
        <v>-43.382659270000005</v>
      </c>
      <c r="AG20" s="44">
        <f>+-68.50728894-AG73</f>
        <v>-57.407288939999994</v>
      </c>
      <c r="AH20" s="44">
        <f>+-69.67391141-AH73</f>
        <v>-55.093791430000003</v>
      </c>
      <c r="AI20" s="44">
        <f>+-75.50659227-AI73</f>
        <v>-54.870246770000001</v>
      </c>
      <c r="AJ20" s="44">
        <f>+-31.72562505-AJ73</f>
        <v>-12.156151910000002</v>
      </c>
      <c r="AK20" s="44">
        <f>+-66.27092621-AK73</f>
        <v>-51.142680729999995</v>
      </c>
      <c r="AL20" s="44">
        <f>+-94.11752605-AL73</f>
        <v>-76.862570169999998</v>
      </c>
      <c r="AM20" s="53"/>
    </row>
    <row r="21" spans="2:39" x14ac:dyDescent="0.35">
      <c r="B21" s="5" t="s">
        <v>60</v>
      </c>
      <c r="C21" s="44">
        <v>-2.9431910800000001</v>
      </c>
      <c r="D21" s="44">
        <v>-7.3473143399999978</v>
      </c>
      <c r="E21" s="36">
        <f t="shared" si="0"/>
        <v>1.4963769392777575</v>
      </c>
      <c r="H21" s="5" t="s">
        <v>60</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+-3.58230685-AB74</f>
        <v>-3.5823068500000002</v>
      </c>
      <c r="AC21" s="44">
        <f>+-9.14473538-AC74</f>
        <v>-9.1447353800000002</v>
      </c>
      <c r="AD21" s="44">
        <v>-2.1464366200000002</v>
      </c>
      <c r="AE21" s="44">
        <v>-0.41594635999999952</v>
      </c>
      <c r="AF21" s="44">
        <f>+-0.974576780847656-AF74</f>
        <v>-0.97457678084765598</v>
      </c>
      <c r="AG21" s="44">
        <v>-4.2986809299999997</v>
      </c>
      <c r="AH21" s="44">
        <f>+-2.94319108-AH74</f>
        <v>-2.9431910800000001</v>
      </c>
      <c r="AI21" s="44">
        <v>-0.41815340000000006</v>
      </c>
      <c r="AJ21" s="44">
        <v>-1.86275127</v>
      </c>
      <c r="AK21" s="44">
        <f>+-16.70689078-AK74</f>
        <v>-16.706890779999998</v>
      </c>
      <c r="AL21" s="44">
        <f>+-7.62363504-AL74</f>
        <v>-7.3473143399999996</v>
      </c>
      <c r="AM21" s="53"/>
    </row>
    <row r="22" spans="2:39" x14ac:dyDescent="0.35">
      <c r="B22" s="5" t="s">
        <v>61</v>
      </c>
      <c r="C22" s="44">
        <v>-21.183902500000002</v>
      </c>
      <c r="D22" s="44">
        <v>-25.186136600000005</v>
      </c>
      <c r="E22" s="36">
        <f t="shared" si="0"/>
        <v>0.18892808348225754</v>
      </c>
      <c r="H22" s="5" t="s">
        <v>61</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f>+-17.54565283-AI75</f>
        <v>-14.311844090000001</v>
      </c>
      <c r="AJ22" s="44">
        <f>+-10.82531167-AJ74</f>
        <v>-9.905931429999999</v>
      </c>
      <c r="AK22" s="44">
        <v>-21.106550949999999</v>
      </c>
      <c r="AL22" s="44">
        <v>-25.186136600000005</v>
      </c>
      <c r="AM22" s="53"/>
    </row>
    <row r="23" spans="2:39" x14ac:dyDescent="0.35">
      <c r="B23" s="5" t="s">
        <v>89</v>
      </c>
      <c r="C23" s="44">
        <v>-13.262345070000006</v>
      </c>
      <c r="D23" s="44">
        <v>-15.997802031244371</v>
      </c>
      <c r="E23" s="36">
        <f t="shared" si="0"/>
        <v>0.20625741125014807</v>
      </c>
      <c r="H23" s="5" t="s">
        <v>89</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+-28.76885844-AB75</f>
        <v>-25.276053900000001</v>
      </c>
      <c r="AC23" s="44">
        <f>+-19.58196495-AC75</f>
        <v>-16.469341709999998</v>
      </c>
      <c r="AD23" s="44">
        <f>+-21.03649055-AD75</f>
        <v>-17.734178549999999</v>
      </c>
      <c r="AE23" s="44">
        <v>-16.571456010000002</v>
      </c>
      <c r="AF23" s="44">
        <f>+-23.46560624-AF75</f>
        <v>-20.113695880000002</v>
      </c>
      <c r="AG23" s="44">
        <f>+-13.36357333-AG75</f>
        <v>-11.41508732</v>
      </c>
      <c r="AH23" s="44">
        <f>+-17.51902408-AH75</f>
        <v>-14.984349530000001</v>
      </c>
      <c r="AI23" s="44">
        <v>-18.33861169</v>
      </c>
      <c r="AJ23" s="44">
        <f>+-24.00240708-AJ75</f>
        <v>-20.103875870000003</v>
      </c>
      <c r="AK23" s="44">
        <f>+-12.00200043-AK75</f>
        <v>-10.502000430000001</v>
      </c>
      <c r="AL23" s="44">
        <f>+-19.6344931912445-AL75</f>
        <v>-17.222225511244503</v>
      </c>
      <c r="AM23" s="53"/>
    </row>
    <row r="24" spans="2:39" x14ac:dyDescent="0.35">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53"/>
    </row>
    <row r="25" spans="2:39" x14ac:dyDescent="0.35">
      <c r="B25" s="2" t="s">
        <v>90</v>
      </c>
      <c r="C25" s="9">
        <f>C17+C10</f>
        <v>146.93911355999998</v>
      </c>
      <c r="D25" s="9">
        <f>D17+D10</f>
        <v>147.63281057419769</v>
      </c>
      <c r="E25" s="38">
        <f t="shared" si="0"/>
        <v>4.7209827076739597E-3</v>
      </c>
      <c r="H25" s="2" t="s">
        <v>90</v>
      </c>
      <c r="I25" s="9">
        <f t="shared" ref="I25:AE25" si="5">I17+I10</f>
        <v>137.89374637000003</v>
      </c>
      <c r="J25" s="9">
        <f t="shared" si="5"/>
        <v>162.44525369000002</v>
      </c>
      <c r="K25" s="9">
        <f t="shared" si="5"/>
        <v>137.48338611999998</v>
      </c>
      <c r="L25" s="9">
        <f t="shared" si="5"/>
        <v>181.04590640999999</v>
      </c>
      <c r="M25" s="9">
        <f t="shared" si="5"/>
        <v>111.84702719000003</v>
      </c>
      <c r="N25" s="9">
        <f t="shared" si="5"/>
        <v>157.19356322000004</v>
      </c>
      <c r="O25" s="9">
        <f t="shared" si="5"/>
        <v>200.96953452999998</v>
      </c>
      <c r="P25" s="9">
        <f t="shared" si="5"/>
        <v>196.5</v>
      </c>
      <c r="Q25" s="9">
        <f t="shared" si="5"/>
        <v>174.20261859999999</v>
      </c>
      <c r="R25" s="9">
        <f t="shared" si="5"/>
        <v>165.02881524999998</v>
      </c>
      <c r="S25" s="9">
        <f t="shared" si="5"/>
        <v>130.51520865999996</v>
      </c>
      <c r="T25" s="9">
        <f t="shared" si="5"/>
        <v>169.52104676999997</v>
      </c>
      <c r="U25" s="9">
        <f t="shared" si="5"/>
        <v>167.14281708999997</v>
      </c>
      <c r="V25" s="9">
        <f t="shared" si="5"/>
        <v>170.80365676000002</v>
      </c>
      <c r="W25" s="9">
        <f t="shared" si="5"/>
        <v>185.34389436999996</v>
      </c>
      <c r="X25" s="9">
        <f t="shared" si="5"/>
        <v>217.99880021000004</v>
      </c>
      <c r="Y25" s="9">
        <f t="shared" si="5"/>
        <v>180.10621122000003</v>
      </c>
      <c r="Z25" s="9">
        <f t="shared" si="5"/>
        <v>167.37775774000008</v>
      </c>
      <c r="AA25" s="9">
        <f t="shared" si="5"/>
        <v>173.78870720000003</v>
      </c>
      <c r="AB25" s="9">
        <f t="shared" si="5"/>
        <v>230.59628267000002</v>
      </c>
      <c r="AC25" s="9">
        <f t="shared" si="5"/>
        <v>170.62513011000001</v>
      </c>
      <c r="AD25" s="9">
        <f t="shared" si="5"/>
        <v>178.36596232000002</v>
      </c>
      <c r="AE25" s="9">
        <f t="shared" si="5"/>
        <v>183.58786783000005</v>
      </c>
      <c r="AF25" s="9">
        <f t="shared" ref="AF25:AJ25" si="6">AF17+AF10</f>
        <v>187.48957726131368</v>
      </c>
      <c r="AG25" s="9">
        <f t="shared" si="6"/>
        <v>175.95360103000004</v>
      </c>
      <c r="AH25" s="9">
        <f t="shared" si="6"/>
        <v>166.56677347999999</v>
      </c>
      <c r="AI25" s="9">
        <f t="shared" si="6"/>
        <v>179.10948660999998</v>
      </c>
      <c r="AJ25" s="9">
        <f t="shared" si="6"/>
        <v>188.01667729907101</v>
      </c>
      <c r="AK25" s="9">
        <f>AK17+AK10</f>
        <v>151.8117141594561</v>
      </c>
      <c r="AL25" s="9">
        <f>AL17+AL10</f>
        <v>164.88021019419762</v>
      </c>
      <c r="AM25" s="53"/>
    </row>
    <row r="26" spans="2:39" x14ac:dyDescent="0.35">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53"/>
    </row>
    <row r="27" spans="2:39" x14ac:dyDescent="0.35">
      <c r="B27" s="5" t="s">
        <v>64</v>
      </c>
      <c r="C27" s="44">
        <v>-14.437053499999999</v>
      </c>
      <c r="D27" s="44">
        <v>-20.136568096685334</v>
      </c>
      <c r="E27" s="36">
        <f t="shared" si="0"/>
        <v>0.39478378304030914</v>
      </c>
      <c r="H27" s="5" t="s">
        <v>64</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+-19.52008206-AB79</f>
        <v>-18.015688310000002</v>
      </c>
      <c r="AC27" s="44">
        <f>+-18.14563445-AC79</f>
        <v>-16.681628180000001</v>
      </c>
      <c r="AD27" s="44">
        <v>-17.086857370000001</v>
      </c>
      <c r="AE27" s="44">
        <v>-16.935537579999995</v>
      </c>
      <c r="AF27" s="44">
        <v>-17.459000799999998</v>
      </c>
      <c r="AG27" s="44">
        <f>+-15.10311077-AG79</f>
        <v>-13.503110770000001</v>
      </c>
      <c r="AH27" s="44">
        <f>+-15.96317607-AH79</f>
        <v>-14.437053499999999</v>
      </c>
      <c r="AI27" s="44">
        <f>+-16.54621755-AI79</f>
        <v>-15.012555730000001</v>
      </c>
      <c r="AJ27" s="44">
        <f>+-17.7444132051426-AJ79</f>
        <v>-16.2179583251426</v>
      </c>
      <c r="AK27" s="44">
        <f>+-21.2684943257862-AK79</f>
        <v>-19.428022205786199</v>
      </c>
      <c r="AL27" s="44">
        <f>+-21.5443199442137-AL79</f>
        <v>-20.045353354213699</v>
      </c>
      <c r="AM27" s="53"/>
    </row>
    <row r="28" spans="2:39" x14ac:dyDescent="0.35">
      <c r="B28" s="5" t="s">
        <v>91</v>
      </c>
      <c r="C28" s="44">
        <v>-9.2261628699999996</v>
      </c>
      <c r="D28" s="44">
        <v>-12.496053400241237</v>
      </c>
      <c r="E28" s="36">
        <f t="shared" si="0"/>
        <v>0.3544150018068386</v>
      </c>
      <c r="H28" s="5" t="s">
        <v>91</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+-10.4942574-AB80</f>
        <v>-9.1196006500000006</v>
      </c>
      <c r="AC28" s="44">
        <f>+-5.57047109-AC80</f>
        <v>-5.0442705099999996</v>
      </c>
      <c r="AD28" s="44">
        <v>-5.9828553699999993</v>
      </c>
      <c r="AE28" s="44">
        <v>-3.9182373899999976</v>
      </c>
      <c r="AF28" s="44">
        <v>-6.08522447</v>
      </c>
      <c r="AG28" s="44">
        <f>+-11.13666763-AG80</f>
        <v>-9.6851536399999993</v>
      </c>
      <c r="AH28" s="44">
        <f>+-10.3069637-AH80</f>
        <v>-10.39199872</v>
      </c>
      <c r="AI28" s="44">
        <f>+-5.29200337-AI80</f>
        <v>-4.7672706599999994</v>
      </c>
      <c r="AJ28" s="44">
        <f>+-8.86662309606035-AJ80</f>
        <v>-8.1298155560603504</v>
      </c>
      <c r="AK28" s="44">
        <f>+-13.7149330412444-AK80</f>
        <v>-11.9634325012444</v>
      </c>
      <c r="AL28" s="44">
        <f>+-14.3817598902411-AL80</f>
        <v>-12.549477400241095</v>
      </c>
      <c r="AM28" s="53"/>
    </row>
    <row r="29" spans="2:39" x14ac:dyDescent="0.35">
      <c r="B29" s="5" t="s">
        <v>66</v>
      </c>
      <c r="C29" s="44">
        <v>-46.761425169999995</v>
      </c>
      <c r="D29" s="44">
        <v>-43.412605582404652</v>
      </c>
      <c r="E29" s="36">
        <f t="shared" si="0"/>
        <v>-7.161500265273768E-2</v>
      </c>
      <c r="H29" s="5" t="s">
        <v>66</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+-60.0190398-AB81</f>
        <v>-51.431602030000001</v>
      </c>
      <c r="AC29" s="44">
        <f>+-62.31854023-AC81</f>
        <v>-51.456948539999999</v>
      </c>
      <c r="AD29" s="44">
        <v>-52.281024099999996</v>
      </c>
      <c r="AE29" s="44">
        <v>-52.09153554000001</v>
      </c>
      <c r="AF29" s="44">
        <v>-48.783084410000029</v>
      </c>
      <c r="AG29" s="44">
        <f>+-60.57309273-AG81</f>
        <v>-49.373092729999996</v>
      </c>
      <c r="AH29" s="44">
        <f>+-60.98348462-AH81</f>
        <v>-49.504984109999995</v>
      </c>
      <c r="AI29" s="44">
        <f>+-62.10269554-AI81</f>
        <v>-49.919730049999998</v>
      </c>
      <c r="AJ29" s="44">
        <f>+-62.95540184-AJ81</f>
        <v>-51.263780879999999</v>
      </c>
      <c r="AK29" s="44">
        <f>+-55.4260933129534-AK81</f>
        <v>-46.478154362953397</v>
      </c>
      <c r="AL29" s="44">
        <f>+-52.1342169370466-AL81</f>
        <v>-43.349546447046599</v>
      </c>
      <c r="AM29" s="53"/>
    </row>
    <row r="30" spans="2:39" x14ac:dyDescent="0.35">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53"/>
    </row>
    <row r="31" spans="2:39" x14ac:dyDescent="0.35">
      <c r="B31" s="2" t="s">
        <v>92</v>
      </c>
      <c r="C31" s="9">
        <f t="shared" ref="C31:D31" si="7">C25+C27+C28+C29</f>
        <v>76.514472019999999</v>
      </c>
      <c r="D31" s="9">
        <f t="shared" si="7"/>
        <v>71.587583494866465</v>
      </c>
      <c r="E31" s="38">
        <f t="shared" si="0"/>
        <v>-6.4391590179772806E-2</v>
      </c>
      <c r="H31" s="2" t="s">
        <v>92</v>
      </c>
      <c r="I31" s="9">
        <f t="shared" ref="I31:AE31" si="8">I25+I27+I28+I29</f>
        <v>77.800892900000022</v>
      </c>
      <c r="J31" s="9">
        <f t="shared" si="8"/>
        <v>94.644525479999999</v>
      </c>
      <c r="K31" s="9">
        <f t="shared" si="8"/>
        <v>70.629866509999971</v>
      </c>
      <c r="L31" s="9">
        <f t="shared" si="8"/>
        <v>111.10687665999998</v>
      </c>
      <c r="M31" s="9">
        <f t="shared" si="8"/>
        <v>45.325441340000026</v>
      </c>
      <c r="N31" s="9">
        <f t="shared" si="8"/>
        <v>87.98138193000004</v>
      </c>
      <c r="O31" s="9">
        <f t="shared" si="8"/>
        <v>132.02826607999998</v>
      </c>
      <c r="P31" s="9">
        <f t="shared" si="8"/>
        <v>123.1</v>
      </c>
      <c r="Q31" s="9">
        <f t="shared" si="8"/>
        <v>105.64681671</v>
      </c>
      <c r="R31" s="9">
        <f t="shared" si="8"/>
        <v>94.886658069999967</v>
      </c>
      <c r="S31" s="9">
        <f t="shared" si="8"/>
        <v>57.428472359999958</v>
      </c>
      <c r="T31" s="9">
        <f t="shared" si="8"/>
        <v>91.720371839999956</v>
      </c>
      <c r="U31" s="9">
        <f t="shared" si="8"/>
        <v>91.850211179999945</v>
      </c>
      <c r="V31" s="9">
        <f t="shared" si="8"/>
        <v>95.226815070000015</v>
      </c>
      <c r="W31" s="9">
        <f t="shared" si="8"/>
        <v>108.84562639999996</v>
      </c>
      <c r="X31" s="9">
        <f t="shared" si="8"/>
        <v>151.36591756000004</v>
      </c>
      <c r="Y31" s="9">
        <f t="shared" si="8"/>
        <v>103.18760492000004</v>
      </c>
      <c r="Z31" s="9">
        <f t="shared" si="8"/>
        <v>91.101717910000062</v>
      </c>
      <c r="AA31" s="9">
        <f t="shared" si="8"/>
        <v>97.767246650000033</v>
      </c>
      <c r="AB31" s="9">
        <f t="shared" si="8"/>
        <v>152.02939168000003</v>
      </c>
      <c r="AC31" s="9">
        <f t="shared" si="8"/>
        <v>97.442282880000036</v>
      </c>
      <c r="AD31" s="9">
        <f t="shared" si="8"/>
        <v>103.01522548000003</v>
      </c>
      <c r="AE31" s="9">
        <f t="shared" si="8"/>
        <v>110.64255732000005</v>
      </c>
      <c r="AF31" s="9">
        <f>AF25+AF27+AF28+AF29</f>
        <v>115.16226758131363</v>
      </c>
      <c r="AG31" s="9">
        <f t="shared" ref="AG31:AL31" si="9">AG25+AG27+AG28+AG29</f>
        <v>103.39224389000003</v>
      </c>
      <c r="AH31" s="9">
        <f t="shared" si="9"/>
        <v>92.232737150000005</v>
      </c>
      <c r="AI31" s="9">
        <f t="shared" si="9"/>
        <v>109.40993016999997</v>
      </c>
      <c r="AJ31" s="9">
        <f t="shared" si="9"/>
        <v>112.40512253786805</v>
      </c>
      <c r="AK31" s="9">
        <f t="shared" si="9"/>
        <v>73.942105089472108</v>
      </c>
      <c r="AL31" s="9">
        <f t="shared" si="9"/>
        <v>88.93583299269622</v>
      </c>
      <c r="AM31" s="53"/>
    </row>
    <row r="32" spans="2:39" x14ac:dyDescent="0.35">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53"/>
    </row>
    <row r="33" spans="1:39" x14ac:dyDescent="0.35">
      <c r="B33" s="2" t="s">
        <v>68</v>
      </c>
      <c r="C33" s="9">
        <f>C31-C29</f>
        <v>123.27589718999999</v>
      </c>
      <c r="D33" s="9">
        <f>D31-D29</f>
        <v>115.00018907727112</v>
      </c>
      <c r="E33" s="38">
        <f t="shared" si="0"/>
        <v>-6.7131599131449615E-2</v>
      </c>
      <c r="F33" s="89"/>
      <c r="H33" s="2" t="s">
        <v>68</v>
      </c>
      <c r="I33" s="9">
        <f t="shared" ref="I33:AE33" si="10">I31-I29</f>
        <v>119.75269847000003</v>
      </c>
      <c r="J33" s="9">
        <f t="shared" si="10"/>
        <v>140.83003524</v>
      </c>
      <c r="K33" s="9">
        <f t="shared" si="10"/>
        <v>116.97134203999997</v>
      </c>
      <c r="L33" s="9">
        <f t="shared" si="10"/>
        <v>159.00253423999999</v>
      </c>
      <c r="M33" s="9">
        <f t="shared" si="10"/>
        <v>92.777901910000026</v>
      </c>
      <c r="N33" s="9">
        <f t="shared" si="10"/>
        <v>136.36632230000004</v>
      </c>
      <c r="O33" s="9">
        <f t="shared" si="10"/>
        <v>180.89013841999997</v>
      </c>
      <c r="P33" s="9">
        <f t="shared" si="10"/>
        <v>172.1</v>
      </c>
      <c r="Q33" s="9">
        <f t="shared" si="10"/>
        <v>153.50584536</v>
      </c>
      <c r="R33" s="9">
        <f t="shared" si="10"/>
        <v>141.99036778999996</v>
      </c>
      <c r="S33" s="9">
        <f t="shared" si="10"/>
        <v>106.45215646999996</v>
      </c>
      <c r="T33" s="9">
        <f t="shared" si="10"/>
        <v>143.76368152999996</v>
      </c>
      <c r="U33" s="9">
        <f t="shared" si="10"/>
        <v>143.38770248999995</v>
      </c>
      <c r="V33" s="9">
        <f t="shared" si="10"/>
        <v>147.56513600000002</v>
      </c>
      <c r="W33" s="9">
        <f t="shared" si="10"/>
        <v>160.55474137999997</v>
      </c>
      <c r="X33" s="9">
        <f t="shared" si="10"/>
        <v>187.03663926000004</v>
      </c>
      <c r="Y33" s="9">
        <f t="shared" si="10"/>
        <v>153.65594515000004</v>
      </c>
      <c r="Z33" s="9">
        <f t="shared" si="10"/>
        <v>141.67942827000007</v>
      </c>
      <c r="AA33" s="9">
        <f t="shared" si="10"/>
        <v>148.98190353000004</v>
      </c>
      <c r="AB33" s="9">
        <f t="shared" si="10"/>
        <v>203.46099371000003</v>
      </c>
      <c r="AC33" s="9">
        <f t="shared" si="10"/>
        <v>148.89923142000004</v>
      </c>
      <c r="AD33" s="9">
        <f t="shared" si="10"/>
        <v>155.29624958000002</v>
      </c>
      <c r="AE33" s="9">
        <f t="shared" si="10"/>
        <v>162.73409286000006</v>
      </c>
      <c r="AF33" s="9">
        <f>AF31-AF29</f>
        <v>163.94535199131366</v>
      </c>
      <c r="AG33" s="9">
        <f>172.34723633-AG85</f>
        <v>152.76533661999997</v>
      </c>
      <c r="AH33" s="9">
        <f>155.26443032-AH85</f>
        <v>141.73772126</v>
      </c>
      <c r="AI33" s="9">
        <f>174.98602269-AI85</f>
        <v>159.32966021999999</v>
      </c>
      <c r="AJ33" s="9">
        <f>AJ31-AJ29</f>
        <v>163.66890341786805</v>
      </c>
      <c r="AK33" s="9">
        <f>137.354311322426-AK85</f>
        <v>120.42025945242602</v>
      </c>
      <c r="AL33" s="9">
        <f>146.649248797271-AL85</f>
        <v>132.19407894727101</v>
      </c>
      <c r="AM33" s="53"/>
    </row>
    <row r="35" spans="1:39" ht="23.4" x14ac:dyDescent="0.45">
      <c r="B35" s="12" t="s">
        <v>93</v>
      </c>
      <c r="C35" s="13"/>
      <c r="D35" s="13"/>
      <c r="E35" s="13"/>
      <c r="AJ35" s="53"/>
      <c r="AK35" s="53"/>
      <c r="AL35" s="53"/>
    </row>
    <row r="37" spans="1:39" x14ac:dyDescent="0.35">
      <c r="A37" s="1">
        <v>1</v>
      </c>
      <c r="B37" s="3" t="s">
        <v>84</v>
      </c>
      <c r="C37" s="100" t="s">
        <v>130</v>
      </c>
      <c r="D37" s="100" t="s">
        <v>144</v>
      </c>
      <c r="E37" s="100" t="s">
        <v>83</v>
      </c>
      <c r="AM37" s="54"/>
    </row>
    <row r="38" spans="1:39" x14ac:dyDescent="0.35">
      <c r="A38" s="1">
        <v>2</v>
      </c>
      <c r="B38" s="3" t="s">
        <v>52</v>
      </c>
      <c r="C38" s="100"/>
      <c r="D38" s="100"/>
      <c r="E38" s="100"/>
    </row>
    <row r="39" spans="1:39" ht="6.75" customHeight="1" x14ac:dyDescent="0.35">
      <c r="A39" s="1">
        <v>3</v>
      </c>
    </row>
    <row r="40" spans="1:39" x14ac:dyDescent="0.35">
      <c r="A40" s="1">
        <v>4</v>
      </c>
      <c r="B40" s="2" t="s">
        <v>84</v>
      </c>
      <c r="C40" s="9">
        <f>SUM(C41:C42)</f>
        <v>21.3</v>
      </c>
      <c r="D40" s="9">
        <f>SUM(D41:D42)</f>
        <v>20.487473640000001</v>
      </c>
      <c r="E40" s="38">
        <f t="shared" ref="E40:E55" si="11">D40/C40-1</f>
        <v>-3.8146777464788673E-2</v>
      </c>
    </row>
    <row r="41" spans="1:39" x14ac:dyDescent="0.35">
      <c r="A41" s="1">
        <v>8</v>
      </c>
      <c r="B41" s="5" t="s">
        <v>57</v>
      </c>
      <c r="C41" s="7">
        <v>21.3</v>
      </c>
      <c r="D41" s="7">
        <v>20.487473640000001</v>
      </c>
      <c r="E41" s="36">
        <f t="shared" si="11"/>
        <v>-3.8146777464788673E-2</v>
      </c>
    </row>
    <row r="42" spans="1:39" x14ac:dyDescent="0.35">
      <c r="A42" s="1">
        <v>9</v>
      </c>
      <c r="B42" s="5" t="s">
        <v>55</v>
      </c>
      <c r="C42" s="84" t="s">
        <v>44</v>
      </c>
      <c r="D42" s="85" t="s">
        <v>44</v>
      </c>
      <c r="E42" s="49" t="s">
        <v>44</v>
      </c>
    </row>
    <row r="43" spans="1:39" ht="5.25" customHeight="1" x14ac:dyDescent="0.35">
      <c r="A43" s="1">
        <v>10</v>
      </c>
      <c r="C43" s="33"/>
      <c r="D43" s="33"/>
      <c r="E43" s="40"/>
    </row>
    <row r="44" spans="1:39" x14ac:dyDescent="0.35">
      <c r="A44" s="1">
        <v>11</v>
      </c>
      <c r="B44" s="2" t="s">
        <v>88</v>
      </c>
      <c r="C44" s="9">
        <f>SUM(C45:C46)</f>
        <v>-2.6635862899999996</v>
      </c>
      <c r="D44" s="9">
        <f>SUM(D45:D46)</f>
        <v>-3.0800943199999953</v>
      </c>
      <c r="E44" s="38">
        <f t="shared" si="11"/>
        <v>0.15637114200643976</v>
      </c>
    </row>
    <row r="45" spans="1:39" x14ac:dyDescent="0.35">
      <c r="A45" s="1">
        <v>12</v>
      </c>
      <c r="B45" s="5" t="s">
        <v>57</v>
      </c>
      <c r="C45" s="44">
        <v>-0.3</v>
      </c>
      <c r="D45" s="44">
        <v>-7.6791190000000009E-2</v>
      </c>
      <c r="E45" s="49">
        <v>-0.37447780999999991</v>
      </c>
    </row>
    <row r="46" spans="1:39" x14ac:dyDescent="0.35">
      <c r="A46" s="1">
        <v>17</v>
      </c>
      <c r="B46" s="5" t="s">
        <v>89</v>
      </c>
      <c r="C46" s="44">
        <v>-2.3635862899999998</v>
      </c>
      <c r="D46" s="44">
        <v>-3.0033031299999955</v>
      </c>
      <c r="E46" s="49">
        <f t="shared" si="11"/>
        <v>0.27065516613738505</v>
      </c>
    </row>
    <row r="47" spans="1:39" ht="5.25" customHeight="1" x14ac:dyDescent="0.35">
      <c r="A47" s="1">
        <v>18</v>
      </c>
      <c r="C47" s="33"/>
      <c r="D47" s="33"/>
      <c r="E47" s="40"/>
    </row>
    <row r="48" spans="1:39" x14ac:dyDescent="0.35">
      <c r="A48" s="1">
        <v>19</v>
      </c>
      <c r="B48" s="2" t="s">
        <v>90</v>
      </c>
      <c r="C48" s="9">
        <f>C44+C40</f>
        <v>18.636413709999999</v>
      </c>
      <c r="D48" s="9">
        <f>D44+D40</f>
        <v>17.407379320000004</v>
      </c>
      <c r="E48" s="38">
        <f t="shared" si="11"/>
        <v>-6.5948009586228262E-2</v>
      </c>
    </row>
    <row r="49" spans="1:38" ht="5.25" customHeight="1" x14ac:dyDescent="0.35">
      <c r="A49" s="1">
        <v>20</v>
      </c>
      <c r="C49" s="33"/>
      <c r="D49" s="33"/>
      <c r="E49" s="40"/>
    </row>
    <row r="50" spans="1:38" x14ac:dyDescent="0.35">
      <c r="A50" s="1">
        <v>22</v>
      </c>
      <c r="B50" s="5" t="s">
        <v>91</v>
      </c>
      <c r="C50" s="44">
        <v>-0.23641371</v>
      </c>
      <c r="D50" s="44">
        <v>-0.16794143999999983</v>
      </c>
      <c r="E50" s="36">
        <f t="shared" si="11"/>
        <v>-0.28962901517006001</v>
      </c>
    </row>
    <row r="51" spans="1:38" x14ac:dyDescent="0.35">
      <c r="A51" s="1">
        <v>23</v>
      </c>
      <c r="B51" s="5" t="s">
        <v>66</v>
      </c>
      <c r="C51" s="44">
        <v>-2.7</v>
      </c>
      <c r="D51" s="44">
        <v>-2.8134597899999987</v>
      </c>
      <c r="E51" s="36">
        <f t="shared" si="11"/>
        <v>4.2022144444443965E-2</v>
      </c>
    </row>
    <row r="52" spans="1:38" ht="5.25" customHeight="1" x14ac:dyDescent="0.35">
      <c r="A52" s="1">
        <v>24</v>
      </c>
      <c r="C52" s="33"/>
      <c r="D52" s="33"/>
      <c r="E52" s="40"/>
    </row>
    <row r="53" spans="1:38" x14ac:dyDescent="0.35">
      <c r="A53" s="1">
        <v>25</v>
      </c>
      <c r="B53" s="2" t="s">
        <v>92</v>
      </c>
      <c r="C53" s="9">
        <f>C48+C50+C51</f>
        <v>15.7</v>
      </c>
      <c r="D53" s="9">
        <f>D48++D50+D51</f>
        <v>14.425978090000005</v>
      </c>
      <c r="E53" s="38">
        <f t="shared" si="11"/>
        <v>-8.1147892356687623E-2</v>
      </c>
    </row>
    <row r="54" spans="1:38" ht="5.25" customHeight="1" x14ac:dyDescent="0.35">
      <c r="A54" s="1">
        <v>26</v>
      </c>
      <c r="B54" s="41"/>
      <c r="C54" s="42"/>
      <c r="D54" s="42"/>
      <c r="E54" s="43"/>
    </row>
    <row r="55" spans="1:38" x14ac:dyDescent="0.35">
      <c r="A55" s="1">
        <v>27</v>
      </c>
      <c r="B55" s="2" t="s">
        <v>68</v>
      </c>
      <c r="C55" s="9">
        <f t="shared" ref="C55:D55" si="12">C53-C51</f>
        <v>18.399999999999999</v>
      </c>
      <c r="D55" s="9">
        <f t="shared" si="12"/>
        <v>17.239437880000004</v>
      </c>
      <c r="E55" s="38">
        <f t="shared" si="11"/>
        <v>-6.3074028260869275E-2</v>
      </c>
    </row>
    <row r="56" spans="1:38" ht="28.5" customHeight="1" x14ac:dyDescent="0.35"/>
    <row r="57" spans="1:38" ht="28.5" customHeight="1" x14ac:dyDescent="0.35"/>
    <row r="58" spans="1:38" ht="23.4" x14ac:dyDescent="0.45">
      <c r="B58" s="12" t="s">
        <v>46</v>
      </c>
      <c r="C58" s="13"/>
      <c r="D58" s="13"/>
      <c r="E58" s="13"/>
      <c r="H58" s="12" t="s">
        <v>46</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row>
    <row r="59" spans="1:38" ht="9" customHeight="1" x14ac:dyDescent="0.35"/>
    <row r="60" spans="1:38" x14ac:dyDescent="0.35">
      <c r="A60" s="1">
        <v>1</v>
      </c>
      <c r="B60" s="3" t="s">
        <v>84</v>
      </c>
      <c r="C60" s="100" t="s">
        <v>128</v>
      </c>
      <c r="D60" s="100" t="s">
        <v>143</v>
      </c>
      <c r="E60" s="100" t="s">
        <v>83</v>
      </c>
      <c r="H60" s="3" t="s">
        <v>82</v>
      </c>
      <c r="I60" s="100" t="s">
        <v>6</v>
      </c>
      <c r="J60" s="100" t="s">
        <v>7</v>
      </c>
      <c r="K60" s="100" t="s">
        <v>8</v>
      </c>
      <c r="L60" s="100" t="s">
        <v>9</v>
      </c>
      <c r="M60" s="100" t="s">
        <v>10</v>
      </c>
      <c r="N60" s="100" t="s">
        <v>11</v>
      </c>
      <c r="O60" s="100" t="s">
        <v>12</v>
      </c>
      <c r="P60" s="100" t="s">
        <v>13</v>
      </c>
      <c r="Q60" s="100" t="s">
        <v>14</v>
      </c>
      <c r="R60" s="100" t="s">
        <v>15</v>
      </c>
      <c r="S60" s="100" t="s">
        <v>16</v>
      </c>
      <c r="T60" s="100" t="s">
        <v>17</v>
      </c>
      <c r="U60" s="100" t="s">
        <v>18</v>
      </c>
      <c r="V60" s="100" t="s">
        <v>19</v>
      </c>
      <c r="W60" s="100" t="s">
        <v>20</v>
      </c>
      <c r="X60" s="100" t="s">
        <v>21</v>
      </c>
      <c r="Y60" s="100" t="s">
        <v>22</v>
      </c>
      <c r="Z60" s="100" t="s">
        <v>23</v>
      </c>
      <c r="AA60" s="100" t="s">
        <v>24</v>
      </c>
      <c r="AB60" s="100" t="s">
        <v>2</v>
      </c>
      <c r="AC60" s="100" t="s">
        <v>25</v>
      </c>
      <c r="AD60" s="100" t="s">
        <v>51</v>
      </c>
      <c r="AE60" s="100" t="s">
        <v>94</v>
      </c>
      <c r="AF60" s="100" t="s">
        <v>142</v>
      </c>
      <c r="AG60" s="100" t="s">
        <v>128</v>
      </c>
      <c r="AH60" s="100" t="s">
        <v>130</v>
      </c>
      <c r="AI60" s="100" t="s">
        <v>139</v>
      </c>
      <c r="AJ60" s="100" t="s">
        <v>141</v>
      </c>
      <c r="AK60" s="100" t="s">
        <v>143</v>
      </c>
      <c r="AL60" s="100" t="s">
        <v>144</v>
      </c>
    </row>
    <row r="61" spans="1:38" x14ac:dyDescent="0.35">
      <c r="A61" s="1">
        <v>2</v>
      </c>
      <c r="B61" s="3" t="s">
        <v>52</v>
      </c>
      <c r="C61" s="100"/>
      <c r="D61" s="100" t="s">
        <v>25</v>
      </c>
      <c r="E61" s="100"/>
      <c r="H61" s="3" t="s">
        <v>52</v>
      </c>
      <c r="I61" s="100"/>
      <c r="J61" s="100"/>
      <c r="K61" s="100"/>
      <c r="L61" s="100"/>
      <c r="M61" s="100"/>
      <c r="N61" s="100"/>
      <c r="O61" s="100"/>
      <c r="P61" s="100"/>
      <c r="Q61" s="100"/>
      <c r="R61" s="100"/>
      <c r="S61" s="100"/>
      <c r="T61" s="100"/>
      <c r="U61" s="100"/>
      <c r="V61" s="100"/>
      <c r="W61" s="100"/>
      <c r="X61" s="100"/>
      <c r="Y61" s="100"/>
      <c r="Z61" s="100"/>
      <c r="AA61" s="100"/>
      <c r="AB61" s="100"/>
      <c r="AC61" s="100" t="s">
        <v>25</v>
      </c>
      <c r="AD61" s="100" t="s">
        <v>25</v>
      </c>
      <c r="AE61" s="100" t="s">
        <v>25</v>
      </c>
      <c r="AF61" s="100" t="s">
        <v>25</v>
      </c>
      <c r="AG61" s="100"/>
      <c r="AH61" s="100"/>
      <c r="AI61" s="100"/>
      <c r="AJ61" s="100" t="s">
        <v>25</v>
      </c>
      <c r="AK61" s="100"/>
      <c r="AL61" s="100"/>
    </row>
    <row r="62" spans="1:38" ht="6.75" customHeight="1" x14ac:dyDescent="0.35">
      <c r="A62" s="1">
        <v>3</v>
      </c>
    </row>
    <row r="63" spans="1:38" x14ac:dyDescent="0.35">
      <c r="A63" s="1">
        <v>4</v>
      </c>
      <c r="B63" s="2" t="s">
        <v>84</v>
      </c>
      <c r="C63" s="9">
        <f>+HLOOKUP($C$60,$H$60:$AN$85,A63,FALSE)</f>
        <v>37.681899710000003</v>
      </c>
      <c r="D63" s="9">
        <f t="shared" ref="D63:D85" si="13">+HLOOKUP($D$60,$H$60:$AN$85,A63,FALSE)</f>
        <v>37.959551309999995</v>
      </c>
      <c r="E63" s="38">
        <f>D63/C63-1</f>
        <v>7.3683015489345305E-3</v>
      </c>
      <c r="H63" s="2" t="s">
        <v>84</v>
      </c>
      <c r="I63" s="32"/>
      <c r="J63" s="32"/>
      <c r="K63" s="32"/>
      <c r="L63" s="32"/>
      <c r="M63" s="32"/>
      <c r="N63" s="32"/>
      <c r="O63" s="32"/>
      <c r="P63" s="32"/>
      <c r="Q63" s="9">
        <f t="shared" ref="Q63:X63" si="14">SUM(Q64:Q68)</f>
        <v>55.583655499999999</v>
      </c>
      <c r="R63" s="9">
        <f t="shared" si="14"/>
        <v>54.9629184</v>
      </c>
      <c r="S63" s="9">
        <f t="shared" si="14"/>
        <v>49.082694860000004</v>
      </c>
      <c r="T63" s="9">
        <f t="shared" si="14"/>
        <v>57.097280980000001</v>
      </c>
      <c r="U63" s="9">
        <f t="shared" si="14"/>
        <v>47.636293819999999</v>
      </c>
      <c r="V63" s="9">
        <f t="shared" si="14"/>
        <v>46.971507459999998</v>
      </c>
      <c r="W63" s="9">
        <f t="shared" si="14"/>
        <v>51.493997259999993</v>
      </c>
      <c r="X63" s="9">
        <f t="shared" si="14"/>
        <v>46.735641690000008</v>
      </c>
      <c r="Y63" s="9">
        <f t="shared" ref="Y63:AE63" si="15">SUM(Y64:Y68)</f>
        <v>52.673049919999997</v>
      </c>
      <c r="Z63" s="9">
        <f t="shared" si="15"/>
        <v>52.289317230000002</v>
      </c>
      <c r="AA63" s="9">
        <f t="shared" si="15"/>
        <v>40.085187489999996</v>
      </c>
      <c r="AB63" s="9">
        <f t="shared" si="15"/>
        <v>38.385628109999999</v>
      </c>
      <c r="AC63" s="9">
        <f t="shared" si="15"/>
        <v>41.960275469999999</v>
      </c>
      <c r="AD63" s="9">
        <f t="shared" si="15"/>
        <v>41.306034390000001</v>
      </c>
      <c r="AE63" s="9">
        <f t="shared" si="15"/>
        <v>44.203243349999994</v>
      </c>
      <c r="AF63" s="9">
        <f t="shared" ref="AF63:AL63" si="16">SUM(AF64:AF68)</f>
        <v>47.314848999999995</v>
      </c>
      <c r="AG63" s="9">
        <f t="shared" si="16"/>
        <v>37.681899710000003</v>
      </c>
      <c r="AH63" s="9">
        <f t="shared" si="16"/>
        <v>34.790087870000001</v>
      </c>
      <c r="AI63" s="9">
        <f t="shared" si="16"/>
        <v>42.889557519999997</v>
      </c>
      <c r="AJ63" s="9">
        <f t="shared" si="16"/>
        <v>44.078781450000001</v>
      </c>
      <c r="AK63" s="9">
        <f t="shared" si="16"/>
        <v>37.959551309999995</v>
      </c>
      <c r="AL63" s="9">
        <f t="shared" si="16"/>
        <v>39.865567810000002</v>
      </c>
    </row>
    <row r="64" spans="1:38" x14ac:dyDescent="0.35">
      <c r="A64" s="1">
        <v>5</v>
      </c>
      <c r="B64" s="5" t="s">
        <v>85</v>
      </c>
      <c r="C64" s="7">
        <f t="shared" ref="C64:C85" si="17">+HLOOKUP($C$60,$H$60:$AN$85,A64,FALSE)</f>
        <v>29.28596782</v>
      </c>
      <c r="D64" s="7">
        <f>+HLOOKUP($D$60,$H$60:$AN$85,A64,FALSE)</f>
        <v>27.355224159999995</v>
      </c>
      <c r="E64" s="36">
        <f>D64/C64-1</f>
        <v>-6.5927261542692128E-2</v>
      </c>
      <c r="H64" s="5" t="s">
        <v>85</v>
      </c>
      <c r="I64" s="7"/>
      <c r="J64" s="7"/>
      <c r="K64" s="7"/>
      <c r="L64" s="7"/>
      <c r="M64" s="7"/>
      <c r="N64" s="7"/>
      <c r="O64" s="7"/>
      <c r="P64" s="7"/>
      <c r="Q64" s="7">
        <v>32.460313200000002</v>
      </c>
      <c r="R64" s="7">
        <v>29.138366089999998</v>
      </c>
      <c r="S64" s="7">
        <v>28.332158719999999</v>
      </c>
      <c r="T64" s="7">
        <v>29.400125059999997</v>
      </c>
      <c r="U64" s="7">
        <v>30.41764161</v>
      </c>
      <c r="V64" s="7">
        <v>29.193580749999999</v>
      </c>
      <c r="W64" s="7">
        <v>31.344619299999998</v>
      </c>
      <c r="X64" s="7">
        <v>31.739627410000004</v>
      </c>
      <c r="Y64" s="7">
        <v>28.93242343</v>
      </c>
      <c r="Z64" s="7">
        <v>27.544648819999999</v>
      </c>
      <c r="AA64" s="7">
        <v>26.837658909999995</v>
      </c>
      <c r="AB64" s="7">
        <v>23.979617300000001</v>
      </c>
      <c r="AC64" s="7">
        <v>27.59225554</v>
      </c>
      <c r="AD64" s="7">
        <v>27.797825039999999</v>
      </c>
      <c r="AE64" s="7">
        <v>27.159665349999997</v>
      </c>
      <c r="AF64" s="7">
        <v>28.902238430000001</v>
      </c>
      <c r="AG64" s="7">
        <v>29.28596782</v>
      </c>
      <c r="AH64" s="7">
        <v>25.058760310000004</v>
      </c>
      <c r="AI64" s="7">
        <v>26.776863710000001</v>
      </c>
      <c r="AJ64" s="7">
        <v>27.41628996</v>
      </c>
      <c r="AK64" s="7">
        <v>27.355224159999995</v>
      </c>
      <c r="AL64" s="7">
        <v>26.134258350000007</v>
      </c>
    </row>
    <row r="65" spans="1:38" x14ac:dyDescent="0.35">
      <c r="A65" s="1">
        <v>6</v>
      </c>
      <c r="B65" s="5" t="s">
        <v>86</v>
      </c>
      <c r="C65" s="7">
        <f t="shared" si="17"/>
        <v>5.4581992300000008</v>
      </c>
      <c r="D65" s="7">
        <f>+HLOOKUP($D$60,$H$60:$AN$85,A65,FALSE)</f>
        <v>6.59947835</v>
      </c>
      <c r="E65" s="49">
        <f t="shared" ref="E65" si="18">D65/C65-1</f>
        <v>0.20909444157464341</v>
      </c>
      <c r="H65" s="5" t="s">
        <v>86</v>
      </c>
      <c r="I65" s="7"/>
      <c r="J65" s="7"/>
      <c r="K65" s="7"/>
      <c r="L65" s="7"/>
      <c r="M65" s="7"/>
      <c r="N65" s="7"/>
      <c r="O65" s="7"/>
      <c r="P65" s="7"/>
      <c r="Q65" s="7">
        <v>5.6</v>
      </c>
      <c r="R65" s="7">
        <v>6.6</v>
      </c>
      <c r="S65" s="7">
        <v>6.1689418100000006</v>
      </c>
      <c r="T65" s="7">
        <v>0.29570797999999998</v>
      </c>
      <c r="U65" s="7">
        <v>3.9916751399999995</v>
      </c>
      <c r="V65" s="7">
        <v>3.8195686800000002</v>
      </c>
      <c r="W65" s="7">
        <v>3.3034332700000002</v>
      </c>
      <c r="X65" s="7">
        <v>1.5023979999999982E-2</v>
      </c>
      <c r="Y65" s="7">
        <v>7.9133462900000007</v>
      </c>
      <c r="Z65" s="7">
        <v>9.3299704900000009</v>
      </c>
      <c r="AA65" s="7">
        <v>5.3961819800000006</v>
      </c>
      <c r="AB65" s="7">
        <v>6.9740460799999999</v>
      </c>
      <c r="AC65" s="7">
        <v>8.3434991900000011</v>
      </c>
      <c r="AD65" s="7">
        <v>7.6966708700000002</v>
      </c>
      <c r="AE65" s="7">
        <v>8.1598182400000017</v>
      </c>
      <c r="AF65" s="7">
        <v>8.1723705200000012</v>
      </c>
      <c r="AG65" s="7">
        <v>5.4581992300000008</v>
      </c>
      <c r="AH65" s="7">
        <v>4.3626116799999997</v>
      </c>
      <c r="AI65" s="7">
        <v>6.5637490400000003</v>
      </c>
      <c r="AJ65" s="7">
        <v>6.0036959899999989</v>
      </c>
      <c r="AK65" s="7">
        <v>6.59947835</v>
      </c>
      <c r="AL65" s="7">
        <v>5.7830713399999993</v>
      </c>
    </row>
    <row r="66" spans="1:38" x14ac:dyDescent="0.35">
      <c r="A66" s="1">
        <v>7</v>
      </c>
      <c r="B66" s="5" t="s">
        <v>87</v>
      </c>
      <c r="C66" s="7">
        <f t="shared" si="17"/>
        <v>1.6580831100000002</v>
      </c>
      <c r="D66" s="7">
        <f t="shared" si="13"/>
        <v>2.5091850400000002</v>
      </c>
      <c r="E66" s="36">
        <f t="shared" ref="E66:E68" si="19">D66/C66-1</f>
        <v>0.51330474622589928</v>
      </c>
      <c r="H66" s="5" t="s">
        <v>95</v>
      </c>
      <c r="I66" s="7"/>
      <c r="J66" s="7"/>
      <c r="K66" s="7"/>
      <c r="L66" s="7"/>
      <c r="M66" s="7"/>
      <c r="N66" s="7"/>
      <c r="O66" s="7"/>
      <c r="P66" s="7"/>
      <c r="Q66" s="7">
        <v>8.5953532900000003</v>
      </c>
      <c r="R66" s="7">
        <v>6.4017951300000009</v>
      </c>
      <c r="S66" s="7">
        <v>5.7872665799999998</v>
      </c>
      <c r="T66" s="7">
        <v>16.955132990000003</v>
      </c>
      <c r="U66" s="7">
        <v>1.47052644</v>
      </c>
      <c r="V66" s="7">
        <v>3.6616426599999996</v>
      </c>
      <c r="W66" s="7">
        <v>5.7423679999999999</v>
      </c>
      <c r="X66" s="7">
        <v>2.3145004</v>
      </c>
      <c r="Y66" s="7">
        <v>1.47969777</v>
      </c>
      <c r="Z66" s="7">
        <v>3.3943515400000002</v>
      </c>
      <c r="AA66" s="7">
        <v>6.4587246999999994</v>
      </c>
      <c r="AB66" s="7">
        <v>6.2914542299999994</v>
      </c>
      <c r="AC66" s="7">
        <v>4.83443925</v>
      </c>
      <c r="AD66" s="7">
        <v>4.7913998300000005</v>
      </c>
      <c r="AE66" s="7">
        <v>7.3000909399999996</v>
      </c>
      <c r="AF66" s="7">
        <v>3.0115666299999999</v>
      </c>
      <c r="AG66" s="7">
        <v>1.6580831100000002</v>
      </c>
      <c r="AH66" s="7">
        <v>3.9147359100000001</v>
      </c>
      <c r="AI66" s="7">
        <v>8.1863365100000003</v>
      </c>
      <c r="AJ66" s="7">
        <v>9.1388253099999996</v>
      </c>
      <c r="AK66" s="7">
        <v>2.5091850400000002</v>
      </c>
      <c r="AL66" s="7">
        <v>6.7028850899999988</v>
      </c>
    </row>
    <row r="67" spans="1:38" x14ac:dyDescent="0.35">
      <c r="A67" s="1">
        <v>8</v>
      </c>
      <c r="B67" s="5" t="s">
        <v>57</v>
      </c>
      <c r="C67" s="7">
        <f t="shared" si="17"/>
        <v>0</v>
      </c>
      <c r="D67" s="7">
        <f t="shared" si="13"/>
        <v>0</v>
      </c>
      <c r="E67" s="49" t="s">
        <v>44</v>
      </c>
      <c r="H67" s="5" t="s">
        <v>57</v>
      </c>
      <c r="I67" s="7"/>
      <c r="J67" s="7"/>
      <c r="K67" s="7"/>
      <c r="L67" s="7"/>
      <c r="M67" s="7"/>
      <c r="N67" s="7"/>
      <c r="O67" s="7"/>
      <c r="P67" s="7"/>
      <c r="Q67" s="7">
        <v>8.9279890099999992</v>
      </c>
      <c r="R67" s="7">
        <v>12.502251830000001</v>
      </c>
      <c r="S67" s="7">
        <v>8.4584802499999991</v>
      </c>
      <c r="T67" s="7">
        <v>10.021971669999997</v>
      </c>
      <c r="U67" s="7">
        <v>10.59247901</v>
      </c>
      <c r="V67" s="7">
        <v>8.9588192499999995</v>
      </c>
      <c r="W67" s="7">
        <v>10.080884190000001</v>
      </c>
      <c r="X67" s="7">
        <v>11.61420582</v>
      </c>
      <c r="Y67" s="7">
        <v>12.948201429999999</v>
      </c>
      <c r="Z67" s="7">
        <v>10.965700719999999</v>
      </c>
      <c r="AA67" s="7">
        <v>0</v>
      </c>
      <c r="AB67" s="7"/>
      <c r="AC67" s="7"/>
      <c r="AD67" s="7"/>
      <c r="AE67" s="7"/>
      <c r="AF67" s="73">
        <v>0</v>
      </c>
      <c r="AG67" s="73">
        <v>0</v>
      </c>
      <c r="AH67" s="73"/>
      <c r="AI67" s="73"/>
      <c r="AJ67" s="73"/>
      <c r="AK67" s="73">
        <v>0</v>
      </c>
      <c r="AL67" s="73"/>
    </row>
    <row r="68" spans="1:38" x14ac:dyDescent="0.35">
      <c r="A68" s="1">
        <v>9</v>
      </c>
      <c r="B68" s="5" t="s">
        <v>55</v>
      </c>
      <c r="C68" s="7">
        <f t="shared" si="17"/>
        <v>1.27964955</v>
      </c>
      <c r="D68" s="7">
        <f t="shared" si="13"/>
        <v>1.49566376</v>
      </c>
      <c r="E68" s="36">
        <f t="shared" si="19"/>
        <v>0.16880731916015601</v>
      </c>
      <c r="H68" s="5" t="s">
        <v>55</v>
      </c>
      <c r="I68" s="7"/>
      <c r="J68" s="7"/>
      <c r="K68" s="7"/>
      <c r="L68" s="7"/>
      <c r="M68" s="7"/>
      <c r="N68" s="7"/>
      <c r="O68" s="7"/>
      <c r="P68" s="7"/>
      <c r="Q68" s="7">
        <v>0</v>
      </c>
      <c r="R68" s="7">
        <v>0.32050534999999997</v>
      </c>
      <c r="S68" s="7">
        <v>0.33584750000000002</v>
      </c>
      <c r="T68" s="7">
        <v>0.42434328000000004</v>
      </c>
      <c r="U68" s="7">
        <v>1.1639716200000001</v>
      </c>
      <c r="V68" s="7">
        <v>1.3378961200000001</v>
      </c>
      <c r="W68" s="7">
        <v>1.0226925</v>
      </c>
      <c r="X68" s="7">
        <v>1.0522840800000002</v>
      </c>
      <c r="Y68" s="7">
        <v>1.399381</v>
      </c>
      <c r="Z68" s="7">
        <v>1.0546456599999998</v>
      </c>
      <c r="AA68" s="7">
        <v>1.3926219000000002</v>
      </c>
      <c r="AB68" s="7">
        <v>1.1405105</v>
      </c>
      <c r="AC68" s="7">
        <v>1.1900814900000001</v>
      </c>
      <c r="AD68" s="7">
        <v>1.02013865</v>
      </c>
      <c r="AE68" s="7">
        <v>1.58366882</v>
      </c>
      <c r="AF68" s="7">
        <v>7.2286734200000007</v>
      </c>
      <c r="AG68" s="7">
        <v>1.27964955</v>
      </c>
      <c r="AH68" s="7">
        <v>1.45397997</v>
      </c>
      <c r="AI68" s="7">
        <v>1.36260826</v>
      </c>
      <c r="AJ68" s="7">
        <v>1.51997019</v>
      </c>
      <c r="AK68" s="7">
        <v>1.49566376</v>
      </c>
      <c r="AL68" s="7">
        <v>1.2453530300000002</v>
      </c>
    </row>
    <row r="69" spans="1:38" ht="4.5" customHeight="1" x14ac:dyDescent="0.35">
      <c r="A69" s="1">
        <v>10</v>
      </c>
      <c r="C69" s="1">
        <f t="shared" si="17"/>
        <v>0</v>
      </c>
      <c r="D69" s="1">
        <f t="shared" si="13"/>
        <v>0</v>
      </c>
    </row>
    <row r="70" spans="1:38" x14ac:dyDescent="0.35">
      <c r="A70" s="1">
        <v>11</v>
      </c>
      <c r="B70" s="2" t="s">
        <v>88</v>
      </c>
      <c r="C70" s="9">
        <f t="shared" si="17"/>
        <v>-15.04848601</v>
      </c>
      <c r="D70" s="9">
        <f t="shared" si="13"/>
        <v>-17.433526780000001</v>
      </c>
      <c r="E70" s="38">
        <f>D70/C70-1</f>
        <v>0.15849041348180126</v>
      </c>
      <c r="H70" s="2" t="s">
        <v>88</v>
      </c>
      <c r="I70" s="32"/>
      <c r="J70" s="32"/>
      <c r="K70" s="32"/>
      <c r="L70" s="32"/>
      <c r="M70" s="32"/>
      <c r="N70" s="32"/>
      <c r="O70" s="32"/>
      <c r="P70" s="32"/>
      <c r="Q70" s="9">
        <f t="shared" ref="Q70:X70" si="20">SUM(Q71:Q75)</f>
        <v>-32.306038980000004</v>
      </c>
      <c r="R70" s="9">
        <f t="shared" si="20"/>
        <v>-41.795531619999998</v>
      </c>
      <c r="S70" s="9">
        <f t="shared" si="20"/>
        <v>-30.759452379999999</v>
      </c>
      <c r="T70" s="9">
        <f t="shared" si="20"/>
        <v>-39.480105159999994</v>
      </c>
      <c r="U70" s="9">
        <f t="shared" si="20"/>
        <v>-34.353933659999996</v>
      </c>
      <c r="V70" s="9">
        <f t="shared" si="20"/>
        <v>-33.9733351</v>
      </c>
      <c r="W70" s="9">
        <f t="shared" si="20"/>
        <v>-35.661452799999999</v>
      </c>
      <c r="X70" s="9">
        <f t="shared" si="20"/>
        <v>-37.405603590000005</v>
      </c>
      <c r="Y70" s="9">
        <f t="shared" ref="Y70:AE70" si="21">SUM(Y71:Y75)</f>
        <v>-40.773118190000005</v>
      </c>
      <c r="Z70" s="9">
        <f t="shared" si="21"/>
        <v>-37.811925799999997</v>
      </c>
      <c r="AA70" s="9">
        <f t="shared" si="21"/>
        <v>-30.209554599999997</v>
      </c>
      <c r="AB70" s="9">
        <f>+SUM(AB71:AB75)</f>
        <v>-28.78228824</v>
      </c>
      <c r="AC70" s="9">
        <f t="shared" si="21"/>
        <v>-23.492882950000002</v>
      </c>
      <c r="AD70" s="9">
        <f t="shared" si="21"/>
        <v>-20.57628506</v>
      </c>
      <c r="AE70" s="9">
        <f t="shared" si="21"/>
        <v>-26.275369099999999</v>
      </c>
      <c r="AF70" s="9">
        <f t="shared" ref="AF70:AL70" si="22">SUM(AF71:AF75)</f>
        <v>-25.377440749999998</v>
      </c>
      <c r="AG70" s="9">
        <f t="shared" si="22"/>
        <v>-15.04848601</v>
      </c>
      <c r="AH70" s="9">
        <f t="shared" si="22"/>
        <v>-19.82229126</v>
      </c>
      <c r="AI70" s="9">
        <f t="shared" si="22"/>
        <v>-25.174800519999998</v>
      </c>
      <c r="AJ70" s="9">
        <f t="shared" si="22"/>
        <v>-25.542623639999995</v>
      </c>
      <c r="AK70" s="9">
        <f t="shared" si="22"/>
        <v>-17.433526780000001</v>
      </c>
      <c r="AL70" s="9">
        <f t="shared" si="22"/>
        <v>-22.079148879999995</v>
      </c>
    </row>
    <row r="71" spans="1:38" x14ac:dyDescent="0.35">
      <c r="A71" s="1">
        <v>12</v>
      </c>
      <c r="B71" s="5" t="s">
        <v>57</v>
      </c>
      <c r="C71" s="44">
        <f t="shared" si="17"/>
        <v>-0.7</v>
      </c>
      <c r="D71" s="44">
        <f t="shared" si="13"/>
        <v>-0.42041494000000001</v>
      </c>
      <c r="E71" s="36">
        <f t="shared" ref="E71:E75" si="23">D71/C71-1</f>
        <v>-0.39940722857142852</v>
      </c>
      <c r="H71" s="5" t="s">
        <v>57</v>
      </c>
      <c r="I71" s="7"/>
      <c r="J71" s="7"/>
      <c r="K71" s="7"/>
      <c r="L71" s="7"/>
      <c r="M71" s="7"/>
      <c r="N71" s="7"/>
      <c r="O71" s="7"/>
      <c r="P71" s="7"/>
      <c r="Q71" s="44">
        <v>-8.6869376099999993</v>
      </c>
      <c r="R71" s="44">
        <v>-10.98468411</v>
      </c>
      <c r="S71" s="44">
        <v>-7.5221053799999993</v>
      </c>
      <c r="T71" s="44">
        <v>-8.4976941799999999</v>
      </c>
      <c r="U71" s="44">
        <v>-8.7930702800000002</v>
      </c>
      <c r="V71" s="44">
        <v>-8.4213767199999996</v>
      </c>
      <c r="W71" s="44">
        <v>-9.6291035800000007</v>
      </c>
      <c r="X71" s="44">
        <v>-10.23718113</v>
      </c>
      <c r="Y71" s="44">
        <v>-10.758186589999999</v>
      </c>
      <c r="Z71" s="44">
        <v>-10.957769000000001</v>
      </c>
      <c r="AA71" s="44">
        <v>-0.66157777000000095</v>
      </c>
      <c r="AB71" s="44"/>
      <c r="AC71" s="44">
        <v>-0.49616329999999997</v>
      </c>
      <c r="AD71" s="44">
        <v>-0.73033623999999997</v>
      </c>
      <c r="AE71" s="44">
        <v>-1.3071812600000001</v>
      </c>
      <c r="AF71" s="44">
        <v>-0.91939967999999994</v>
      </c>
      <c r="AG71" s="44">
        <v>-0.7</v>
      </c>
      <c r="AH71" s="44">
        <v>-2.2193861799999999</v>
      </c>
      <c r="AI71" s="44">
        <v>-1.2449280699999998</v>
      </c>
      <c r="AJ71" s="44">
        <v>-1.1551104400000001</v>
      </c>
      <c r="AK71" s="44">
        <v>-0.42041494000000001</v>
      </c>
      <c r="AL71" s="44">
        <v>-1.3291058100000002</v>
      </c>
    </row>
    <row r="72" spans="1:38" x14ac:dyDescent="0.35">
      <c r="A72" s="1">
        <v>13</v>
      </c>
      <c r="B72" s="5" t="s">
        <v>58</v>
      </c>
      <c r="C72" s="44">
        <f t="shared" si="17"/>
        <v>-1.3</v>
      </c>
      <c r="D72" s="44">
        <f t="shared" si="13"/>
        <v>-0.38486635999999996</v>
      </c>
      <c r="E72" s="49" t="s">
        <v>44</v>
      </c>
      <c r="H72" s="5" t="s">
        <v>58</v>
      </c>
      <c r="I72" s="7"/>
      <c r="J72" s="7"/>
      <c r="K72" s="7"/>
      <c r="L72" s="7"/>
      <c r="M72" s="7"/>
      <c r="N72" s="7"/>
      <c r="O72" s="7"/>
      <c r="P72" s="7"/>
      <c r="Q72" s="44">
        <v>-2.4822059000000003</v>
      </c>
      <c r="R72" s="44">
        <v>-8.7254282500000002</v>
      </c>
      <c r="S72" s="44">
        <v>-3.1551651900000004</v>
      </c>
      <c r="T72" s="44">
        <v>-1.36595606</v>
      </c>
      <c r="U72" s="44">
        <v>-2.8579380299999997</v>
      </c>
      <c r="V72" s="44">
        <v>-1.42054E-2</v>
      </c>
      <c r="W72" s="44">
        <v>-0.14726351999999998</v>
      </c>
      <c r="X72" s="44">
        <v>-1.8561880000000003E-2</v>
      </c>
      <c r="Y72" s="44">
        <v>-6.3891180600000004</v>
      </c>
      <c r="Z72" s="44">
        <v>-1.296899E-2</v>
      </c>
      <c r="AA72" s="44">
        <v>-0.13729293999999997</v>
      </c>
      <c r="AB72" s="44">
        <v>-3.7507E-3</v>
      </c>
      <c r="AC72" s="44">
        <v>-0.27191003000000002</v>
      </c>
      <c r="AD72" s="44">
        <v>-0.36717951000000004</v>
      </c>
      <c r="AE72" s="44">
        <v>0</v>
      </c>
      <c r="AF72" s="44">
        <v>-0.34991742999999997</v>
      </c>
      <c r="AG72" s="44">
        <v>-1.3</v>
      </c>
      <c r="AH72" s="44">
        <v>-0.48811054999999998</v>
      </c>
      <c r="AI72" s="44">
        <v>-5.9718210000000001E-2</v>
      </c>
      <c r="AJ72" s="44">
        <v>-1.2861E-4</v>
      </c>
      <c r="AK72" s="44">
        <v>-0.38486635999999996</v>
      </c>
      <c r="AL72" s="44">
        <v>-0.80649880999999979</v>
      </c>
    </row>
    <row r="73" spans="1:38" x14ac:dyDescent="0.35">
      <c r="A73" s="1">
        <v>14</v>
      </c>
      <c r="B73" s="5" t="s">
        <v>59</v>
      </c>
      <c r="C73" s="44">
        <f t="shared" si="17"/>
        <v>-11.1</v>
      </c>
      <c r="D73" s="44">
        <f t="shared" si="13"/>
        <v>-15.12824548</v>
      </c>
      <c r="E73" s="36">
        <f t="shared" si="23"/>
        <v>0.36290499819819821</v>
      </c>
      <c r="H73" s="5" t="s">
        <v>59</v>
      </c>
      <c r="I73" s="7"/>
      <c r="J73" s="7"/>
      <c r="K73" s="7"/>
      <c r="L73" s="7"/>
      <c r="M73" s="7"/>
      <c r="N73" s="7"/>
      <c r="O73" s="7"/>
      <c r="P73" s="7"/>
      <c r="Q73" s="44">
        <v>-16.863124360000004</v>
      </c>
      <c r="R73" s="44">
        <v>-19.939320459999998</v>
      </c>
      <c r="S73" s="44">
        <v>-17.725214960000002</v>
      </c>
      <c r="T73" s="44">
        <v>-28.326226259999999</v>
      </c>
      <c r="U73" s="44">
        <v>-20.05521062</v>
      </c>
      <c r="V73" s="44">
        <v>-23.011494200000001</v>
      </c>
      <c r="W73" s="44">
        <v>-24.285353650000001</v>
      </c>
      <c r="X73" s="44">
        <v>-24.371911540000003</v>
      </c>
      <c r="Y73" s="44">
        <v>-18.965294759999999</v>
      </c>
      <c r="Z73" s="44">
        <v>-23.6114715</v>
      </c>
      <c r="AA73" s="44">
        <v>-24.548299199999999</v>
      </c>
      <c r="AB73" s="44">
        <v>-25.285733</v>
      </c>
      <c r="AC73" s="44">
        <v>-19.612186380000001</v>
      </c>
      <c r="AD73" s="44">
        <v>-16.17645731</v>
      </c>
      <c r="AE73" s="44">
        <v>-22.237171629999999</v>
      </c>
      <c r="AF73" s="44">
        <v>-20.756213280000001</v>
      </c>
      <c r="AG73" s="44">
        <v>-11.1</v>
      </c>
      <c r="AH73" s="44">
        <v>-14.580119980000001</v>
      </c>
      <c r="AI73" s="44">
        <v>-20.636345499999997</v>
      </c>
      <c r="AJ73" s="44">
        <v>-19.569473139999999</v>
      </c>
      <c r="AK73" s="44">
        <v>-15.12824548</v>
      </c>
      <c r="AL73" s="44">
        <v>-17.254955880000001</v>
      </c>
    </row>
    <row r="74" spans="1:38" x14ac:dyDescent="0.35">
      <c r="A74" s="1">
        <v>15</v>
      </c>
      <c r="B74" s="5" t="s">
        <v>60</v>
      </c>
      <c r="C74" s="44">
        <f t="shared" si="17"/>
        <v>0</v>
      </c>
      <c r="D74" s="44">
        <f t="shared" si="13"/>
        <v>0</v>
      </c>
      <c r="E74" s="49" t="s">
        <v>44</v>
      </c>
      <c r="H74" s="5" t="s">
        <v>60</v>
      </c>
      <c r="I74" s="7"/>
      <c r="J74" s="7"/>
      <c r="K74" s="7"/>
      <c r="L74" s="7"/>
      <c r="M74" s="7"/>
      <c r="N74" s="7"/>
      <c r="O74" s="7"/>
      <c r="P74" s="7"/>
      <c r="Q74" s="44"/>
      <c r="R74" s="44"/>
      <c r="S74" s="44"/>
      <c r="T74" s="44"/>
      <c r="U74" s="44"/>
      <c r="V74" s="44"/>
      <c r="W74" s="44"/>
      <c r="X74" s="44"/>
      <c r="Y74" s="44"/>
      <c r="Z74" s="44"/>
      <c r="AA74" s="44">
        <v>-1.3596464999999998</v>
      </c>
      <c r="AB74" s="44">
        <v>0</v>
      </c>
      <c r="AC74" s="44">
        <v>0</v>
      </c>
      <c r="AD74" s="44">
        <v>0</v>
      </c>
      <c r="AE74" s="44">
        <v>0</v>
      </c>
      <c r="AF74" s="44">
        <v>0</v>
      </c>
      <c r="AG74" s="44">
        <v>0</v>
      </c>
      <c r="AH74" s="44">
        <v>0</v>
      </c>
      <c r="AI74" s="44">
        <v>0</v>
      </c>
      <c r="AJ74" s="44">
        <v>-0.91938023999999996</v>
      </c>
      <c r="AK74" s="44">
        <v>0</v>
      </c>
      <c r="AL74" s="44">
        <v>-0.27632070000000003</v>
      </c>
    </row>
    <row r="75" spans="1:38" x14ac:dyDescent="0.35">
      <c r="A75" s="1">
        <v>16</v>
      </c>
      <c r="B75" s="5" t="s">
        <v>89</v>
      </c>
      <c r="C75" s="44">
        <f t="shared" si="17"/>
        <v>-1.9484860099999997</v>
      </c>
      <c r="D75" s="44">
        <f t="shared" si="13"/>
        <v>-1.5</v>
      </c>
      <c r="E75" s="49">
        <f t="shared" si="23"/>
        <v>-0.23017153199883622</v>
      </c>
      <c r="H75" s="5" t="s">
        <v>89</v>
      </c>
      <c r="I75" s="7"/>
      <c r="J75" s="7"/>
      <c r="K75" s="7"/>
      <c r="L75" s="7"/>
      <c r="M75" s="7"/>
      <c r="N75" s="7"/>
      <c r="O75" s="7"/>
      <c r="P75" s="7"/>
      <c r="Q75" s="44">
        <v>-4.2737711100000002</v>
      </c>
      <c r="R75" s="44">
        <v>-2.1460987999999999</v>
      </c>
      <c r="S75" s="44">
        <v>-2.3569668500000001</v>
      </c>
      <c r="T75" s="44">
        <v>-1.2902286600000001</v>
      </c>
      <c r="U75" s="44">
        <v>-2.6477147300000001</v>
      </c>
      <c r="V75" s="44">
        <v>-2.5262587800000005</v>
      </c>
      <c r="W75" s="44">
        <v>-1.5997320500000001</v>
      </c>
      <c r="X75" s="44">
        <v>-2.7779490399999998</v>
      </c>
      <c r="Y75" s="44">
        <v>-4.6605187800000003</v>
      </c>
      <c r="Z75" s="44">
        <v>-3.2297163100000006</v>
      </c>
      <c r="AA75" s="44">
        <v>-3.5027381900000001</v>
      </c>
      <c r="AB75" s="44">
        <v>-3.4928045399999998</v>
      </c>
      <c r="AC75" s="44">
        <v>-3.11262324</v>
      </c>
      <c r="AD75" s="44">
        <v>-3.3023120000000001</v>
      </c>
      <c r="AE75" s="44">
        <v>-2.7310162099999999</v>
      </c>
      <c r="AF75" s="44">
        <v>-3.3519103599999998</v>
      </c>
      <c r="AG75" s="44">
        <v>-1.9484860099999997</v>
      </c>
      <c r="AH75" s="44">
        <v>-2.5346745500000001</v>
      </c>
      <c r="AI75" s="44">
        <v>-3.2338087399999997</v>
      </c>
      <c r="AJ75" s="44">
        <v>-3.8985312099999998</v>
      </c>
      <c r="AK75" s="44">
        <v>-1.5</v>
      </c>
      <c r="AL75" s="44">
        <v>-2.4122676799999958</v>
      </c>
    </row>
    <row r="76" spans="1:38" ht="4.5" customHeight="1" x14ac:dyDescent="0.35">
      <c r="A76" s="1">
        <v>17</v>
      </c>
      <c r="C76" s="33">
        <f t="shared" si="17"/>
        <v>0</v>
      </c>
      <c r="D76" s="33">
        <f t="shared" si="13"/>
        <v>0</v>
      </c>
      <c r="E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row>
    <row r="77" spans="1:38" x14ac:dyDescent="0.35">
      <c r="A77" s="1">
        <v>18</v>
      </c>
      <c r="B77" s="2" t="s">
        <v>90</v>
      </c>
      <c r="C77" s="9">
        <f t="shared" si="17"/>
        <v>22.633413700000006</v>
      </c>
      <c r="D77" s="9">
        <f t="shared" si="13"/>
        <v>20.526024529999994</v>
      </c>
      <c r="E77" s="38">
        <f>D77/C77-1</f>
        <v>-9.3109647441296572E-2</v>
      </c>
      <c r="H77" s="2" t="s">
        <v>90</v>
      </c>
      <c r="I77" s="32"/>
      <c r="J77" s="32"/>
      <c r="K77" s="32"/>
      <c r="L77" s="32"/>
      <c r="M77" s="32"/>
      <c r="N77" s="32"/>
      <c r="O77" s="32"/>
      <c r="P77" s="32"/>
      <c r="Q77" s="9">
        <f t="shared" ref="Q77:X77" si="24">Q70+Q63</f>
        <v>23.277616519999995</v>
      </c>
      <c r="R77" s="9">
        <f t="shared" si="24"/>
        <v>13.167386780000001</v>
      </c>
      <c r="S77" s="9">
        <f t="shared" si="24"/>
        <v>18.323242480000005</v>
      </c>
      <c r="T77" s="9">
        <f t="shared" si="24"/>
        <v>17.617175820000007</v>
      </c>
      <c r="U77" s="9">
        <f t="shared" si="24"/>
        <v>13.282360160000003</v>
      </c>
      <c r="V77" s="9">
        <f t="shared" si="24"/>
        <v>12.998172359999998</v>
      </c>
      <c r="W77" s="9">
        <f t="shared" si="24"/>
        <v>15.832544459999994</v>
      </c>
      <c r="X77" s="9">
        <f t="shared" si="24"/>
        <v>9.330038100000003</v>
      </c>
      <c r="Y77" s="9">
        <f t="shared" ref="Y77:AE77" si="25">Y70+Y63</f>
        <v>11.899931729999992</v>
      </c>
      <c r="Z77" s="9">
        <f t="shared" si="25"/>
        <v>14.477391430000004</v>
      </c>
      <c r="AA77" s="9">
        <f t="shared" si="25"/>
        <v>9.8756328899999986</v>
      </c>
      <c r="AB77" s="9">
        <f t="shared" si="25"/>
        <v>9.6033398699999992</v>
      </c>
      <c r="AC77" s="9">
        <f t="shared" si="25"/>
        <v>18.467392519999997</v>
      </c>
      <c r="AD77" s="9">
        <f t="shared" si="25"/>
        <v>20.729749330000001</v>
      </c>
      <c r="AE77" s="9">
        <f t="shared" si="25"/>
        <v>17.927874249999995</v>
      </c>
      <c r="AF77" s="9">
        <f>AF70+AF63</f>
        <v>21.937408249999997</v>
      </c>
      <c r="AG77" s="9">
        <f>AG70+AG63</f>
        <v>22.633413700000006</v>
      </c>
      <c r="AH77" s="9">
        <f>AH70+AH63</f>
        <v>14.967796610000001</v>
      </c>
      <c r="AI77" s="9">
        <v>17.714756999999999</v>
      </c>
      <c r="AJ77" s="9">
        <f>AJ70+AJ63</f>
        <v>18.536157810000006</v>
      </c>
      <c r="AK77" s="9">
        <f>AK70+AK63</f>
        <v>20.526024529999994</v>
      </c>
      <c r="AL77" s="9">
        <f>AL70+AL63</f>
        <v>17.786418930000007</v>
      </c>
    </row>
    <row r="78" spans="1:38" ht="4.5" customHeight="1" x14ac:dyDescent="0.35">
      <c r="A78" s="1">
        <v>19</v>
      </c>
      <c r="C78" s="33">
        <f t="shared" si="17"/>
        <v>0</v>
      </c>
      <c r="D78" s="33">
        <f t="shared" si="13"/>
        <v>0</v>
      </c>
      <c r="E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row>
    <row r="79" spans="1:38" x14ac:dyDescent="0.35">
      <c r="A79" s="1">
        <v>20</v>
      </c>
      <c r="B79" s="5" t="s">
        <v>64</v>
      </c>
      <c r="C79" s="44">
        <f t="shared" si="17"/>
        <v>-1.6</v>
      </c>
      <c r="D79" s="44">
        <f t="shared" si="13"/>
        <v>-1.84047212</v>
      </c>
      <c r="E79" s="36">
        <f>D79/C79-1</f>
        <v>0.15029507500000006</v>
      </c>
      <c r="H79" s="5" t="s">
        <v>64</v>
      </c>
      <c r="I79" s="7"/>
      <c r="J79" s="7"/>
      <c r="K79" s="7"/>
      <c r="L79" s="7"/>
      <c r="M79" s="7"/>
      <c r="N79" s="7"/>
      <c r="O79" s="7"/>
      <c r="P79" s="7"/>
      <c r="Q79" s="44">
        <v>-1.9020556099999997</v>
      </c>
      <c r="R79" s="44">
        <v>-0.95662959000000014</v>
      </c>
      <c r="S79" s="44">
        <v>-1.38904001</v>
      </c>
      <c r="T79" s="44">
        <v>-1.64653396</v>
      </c>
      <c r="U79" s="44">
        <v>-1.35093598</v>
      </c>
      <c r="V79" s="44">
        <v>-1.4034176600000001</v>
      </c>
      <c r="W79" s="44">
        <v>-1.39107256</v>
      </c>
      <c r="X79" s="44">
        <v>-1.7022323799999999</v>
      </c>
      <c r="Y79" s="44">
        <v>-1.4411471600000001</v>
      </c>
      <c r="Z79" s="44">
        <v>-1.51758236</v>
      </c>
      <c r="AA79" s="44">
        <v>-1.6644289400000001</v>
      </c>
      <c r="AB79" s="44">
        <v>-1.50439375</v>
      </c>
      <c r="AC79" s="44">
        <v>-1.4640062700000001</v>
      </c>
      <c r="AD79" s="44">
        <v>-1.6127271700000001</v>
      </c>
      <c r="AE79" s="44">
        <v>-1.1963248800000001</v>
      </c>
      <c r="AF79" s="44">
        <v>-1.91541703</v>
      </c>
      <c r="AG79" s="44">
        <v>-1.6</v>
      </c>
      <c r="AH79" s="44">
        <v>-1.5261225700000001</v>
      </c>
      <c r="AI79" s="44">
        <v>-1.5336618200000003</v>
      </c>
      <c r="AJ79" s="44">
        <v>-1.5264548799999997</v>
      </c>
      <c r="AK79" s="44">
        <v>-1.84047212</v>
      </c>
      <c r="AL79" s="44">
        <v>-1.4989665900000009</v>
      </c>
    </row>
    <row r="80" spans="1:38" x14ac:dyDescent="0.35">
      <c r="A80" s="1">
        <v>21</v>
      </c>
      <c r="B80" s="5" t="s">
        <v>91</v>
      </c>
      <c r="C80" s="44">
        <f t="shared" si="17"/>
        <v>-1.45151399</v>
      </c>
      <c r="D80" s="44">
        <f t="shared" si="13"/>
        <v>-1.7515005400000001</v>
      </c>
      <c r="E80" s="49">
        <f>D80/C80-1</f>
        <v>0.206671483751941</v>
      </c>
      <c r="H80" s="5" t="s">
        <v>91</v>
      </c>
      <c r="I80" s="7"/>
      <c r="J80" s="7"/>
      <c r="K80" s="7"/>
      <c r="L80" s="7"/>
      <c r="M80" s="7"/>
      <c r="N80" s="7"/>
      <c r="O80" s="7"/>
      <c r="P80" s="7"/>
      <c r="Q80" s="44">
        <v>-4.6529306799999999</v>
      </c>
      <c r="R80" s="44">
        <v>-3.0893527200000004</v>
      </c>
      <c r="S80" s="44">
        <v>-0.84189764999999994</v>
      </c>
      <c r="T80" s="44">
        <v>-1.86806512</v>
      </c>
      <c r="U80" s="44">
        <v>-0.51768802999999997</v>
      </c>
      <c r="V80" s="44">
        <v>-0.68306328000000005</v>
      </c>
      <c r="W80" s="44">
        <v>-0.97182712999999998</v>
      </c>
      <c r="X80" s="44">
        <v>10.162852590000002</v>
      </c>
      <c r="Y80" s="44">
        <v>-0.53674665999999993</v>
      </c>
      <c r="Z80" s="44">
        <v>-0.63847730999999985</v>
      </c>
      <c r="AA80" s="44">
        <v>-0.85316294999999986</v>
      </c>
      <c r="AB80" s="44">
        <v>-1.3746567500000002</v>
      </c>
      <c r="AC80" s="44">
        <v>-0.52620058000000003</v>
      </c>
      <c r="AD80" s="44">
        <v>-0.64479643999999992</v>
      </c>
      <c r="AE80" s="44">
        <v>-0.74230715999999985</v>
      </c>
      <c r="AF80" s="44">
        <v>-1.0305582499999997</v>
      </c>
      <c r="AG80" s="44">
        <v>-1.45151399</v>
      </c>
      <c r="AH80" s="44">
        <v>8.5035019999999961E-2</v>
      </c>
      <c r="AI80" s="44">
        <v>-0.52473270999999999</v>
      </c>
      <c r="AJ80" s="44">
        <v>-0.73680754000000004</v>
      </c>
      <c r="AK80" s="44">
        <v>-1.7515005400000001</v>
      </c>
      <c r="AL80" s="44">
        <v>-1.8322824900000034</v>
      </c>
    </row>
    <row r="81" spans="1:38" x14ac:dyDescent="0.35">
      <c r="A81" s="1">
        <v>22</v>
      </c>
      <c r="B81" s="5" t="s">
        <v>66</v>
      </c>
      <c r="C81" s="44">
        <f t="shared" si="17"/>
        <v>-11.2</v>
      </c>
      <c r="D81" s="44">
        <f t="shared" si="13"/>
        <v>-8.9479389499999993</v>
      </c>
      <c r="E81" s="36">
        <f t="shared" ref="E81" si="26">D81/C81-1</f>
        <v>-0.20107687946428576</v>
      </c>
      <c r="H81" s="5" t="s">
        <v>66</v>
      </c>
      <c r="I81" s="7"/>
      <c r="J81" s="7"/>
      <c r="K81" s="7"/>
      <c r="L81" s="7"/>
      <c r="M81" s="7"/>
      <c r="N81" s="7"/>
      <c r="O81" s="7"/>
      <c r="P81" s="7"/>
      <c r="Q81" s="44">
        <v>-7.9848667500000001</v>
      </c>
      <c r="R81" s="44">
        <v>-7.9488865200000003</v>
      </c>
      <c r="S81" s="44">
        <v>-7.9521240000000013</v>
      </c>
      <c r="T81" s="44">
        <v>-8.0023987100000014</v>
      </c>
      <c r="U81" s="44">
        <v>-8.0354829599999995</v>
      </c>
      <c r="V81" s="44">
        <v>-8.0330798399999992</v>
      </c>
      <c r="W81" s="44">
        <v>-7.8220839199999972</v>
      </c>
      <c r="X81" s="44">
        <v>-8.3412998900000002</v>
      </c>
      <c r="Y81" s="44">
        <v>-8.1506856200000009</v>
      </c>
      <c r="Z81" s="44">
        <v>-8.2453212299999983</v>
      </c>
      <c r="AA81" s="44">
        <v>-8.2788340199999997</v>
      </c>
      <c r="AB81" s="44">
        <v>-8.5874377700000011</v>
      </c>
      <c r="AC81" s="44">
        <v>-10.861591690000001</v>
      </c>
      <c r="AD81" s="44">
        <v>-11.416930089999997</v>
      </c>
      <c r="AE81" s="44">
        <v>-11.762001100000001</v>
      </c>
      <c r="AF81" s="44">
        <v>-11.893788960000002</v>
      </c>
      <c r="AG81" s="44">
        <v>-11.2</v>
      </c>
      <c r="AH81" s="44">
        <v>-11.47850051</v>
      </c>
      <c r="AI81" s="44">
        <v>-12.182965490000001</v>
      </c>
      <c r="AJ81" s="44">
        <v>-11.69162096</v>
      </c>
      <c r="AK81" s="44">
        <v>-8.9479389499999993</v>
      </c>
      <c r="AL81" s="44">
        <v>-8.7846704900000017</v>
      </c>
    </row>
    <row r="82" spans="1:38" ht="4.5" customHeight="1" x14ac:dyDescent="0.35">
      <c r="A82" s="1">
        <v>23</v>
      </c>
      <c r="C82" s="33">
        <f t="shared" si="17"/>
        <v>0</v>
      </c>
      <c r="D82" s="33">
        <f t="shared" si="13"/>
        <v>0</v>
      </c>
      <c r="E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row>
    <row r="83" spans="1:38" x14ac:dyDescent="0.35">
      <c r="A83" s="1">
        <v>24</v>
      </c>
      <c r="B83" s="2" t="s">
        <v>92</v>
      </c>
      <c r="C83" s="9">
        <f t="shared" si="17"/>
        <v>8.3818997100000061</v>
      </c>
      <c r="D83" s="9">
        <f t="shared" si="13"/>
        <v>7.9861129199999947</v>
      </c>
      <c r="E83" s="38">
        <f>D83/C83-1</f>
        <v>-4.7219222812677986E-2</v>
      </c>
      <c r="H83" s="2" t="s">
        <v>92</v>
      </c>
      <c r="I83" s="32"/>
      <c r="J83" s="32"/>
      <c r="K83" s="32"/>
      <c r="L83" s="32"/>
      <c r="M83" s="32"/>
      <c r="N83" s="32"/>
      <c r="O83" s="32"/>
      <c r="P83" s="32"/>
      <c r="Q83" s="9">
        <f t="shared" ref="Q83:W83" si="27">Q77+Q79+Q80+Q81</f>
        <v>8.7377634799999964</v>
      </c>
      <c r="R83" s="9">
        <f t="shared" si="27"/>
        <v>1.1725179499999996</v>
      </c>
      <c r="S83" s="9">
        <f t="shared" si="27"/>
        <v>8.1401808200000048</v>
      </c>
      <c r="T83" s="9">
        <f t="shared" si="27"/>
        <v>6.1001780300000057</v>
      </c>
      <c r="U83" s="9">
        <f t="shared" si="27"/>
        <v>3.3782531900000041</v>
      </c>
      <c r="V83" s="9">
        <f t="shared" si="27"/>
        <v>2.8786115799999976</v>
      </c>
      <c r="W83" s="9">
        <f t="shared" si="27"/>
        <v>5.6475608499999979</v>
      </c>
      <c r="X83" s="9">
        <f t="shared" ref="X83:Y83" si="28">X77+X79+X80+X81</f>
        <v>9.4493584200000047</v>
      </c>
      <c r="Y83" s="9">
        <f t="shared" si="28"/>
        <v>1.7713522899999905</v>
      </c>
      <c r="Z83" s="9">
        <f t="shared" ref="Z83" si="29">Z77+Z79+Z80+Z81</f>
        <v>4.0760105300000049</v>
      </c>
      <c r="AA83" s="9">
        <f t="shared" ref="AA83:AL83" si="30">AA77+AA79+AA80+AA81</f>
        <v>-0.92079302000000141</v>
      </c>
      <c r="AB83" s="9">
        <f t="shared" si="30"/>
        <v>-1.8631484000000018</v>
      </c>
      <c r="AC83" s="9">
        <f t="shared" si="30"/>
        <v>5.6155939799999963</v>
      </c>
      <c r="AD83" s="9">
        <f t="shared" si="30"/>
        <v>7.0552956300000034</v>
      </c>
      <c r="AE83" s="9">
        <f t="shared" si="30"/>
        <v>4.227241109999996</v>
      </c>
      <c r="AF83" s="9">
        <f t="shared" si="30"/>
        <v>7.0976440099999962</v>
      </c>
      <c r="AG83" s="9">
        <f t="shared" si="30"/>
        <v>8.3818997100000061</v>
      </c>
      <c r="AH83" s="9">
        <f t="shared" si="30"/>
        <v>2.04820855</v>
      </c>
      <c r="AI83" s="9">
        <f t="shared" si="30"/>
        <v>3.4733969799999986</v>
      </c>
      <c r="AJ83" s="9">
        <f t="shared" si="30"/>
        <v>4.5812744300000059</v>
      </c>
      <c r="AK83" s="9">
        <f t="shared" si="30"/>
        <v>7.9861129199999947</v>
      </c>
      <c r="AL83" s="9">
        <f t="shared" si="30"/>
        <v>5.6704993599999991</v>
      </c>
    </row>
    <row r="84" spans="1:38" ht="4.5" customHeight="1" x14ac:dyDescent="0.35">
      <c r="A84" s="1">
        <v>25</v>
      </c>
      <c r="B84" s="41"/>
      <c r="C84" s="42">
        <f t="shared" si="17"/>
        <v>0</v>
      </c>
      <c r="D84" s="42">
        <f t="shared" si="13"/>
        <v>0</v>
      </c>
      <c r="E84" s="42"/>
      <c r="H84" s="41"/>
      <c r="I84" s="45"/>
      <c r="J84" s="45"/>
      <c r="K84" s="45"/>
      <c r="L84" s="45"/>
      <c r="M84" s="45"/>
      <c r="N84" s="45"/>
      <c r="O84" s="45"/>
      <c r="P84" s="45"/>
      <c r="Q84" s="42"/>
      <c r="R84" s="42"/>
      <c r="S84" s="42"/>
      <c r="T84" s="42"/>
      <c r="U84" s="42"/>
      <c r="V84" s="42"/>
      <c r="W84" s="42"/>
      <c r="X84" s="42"/>
      <c r="Y84" s="42"/>
      <c r="Z84" s="42"/>
      <c r="AA84" s="42"/>
      <c r="AB84" s="42"/>
      <c r="AC84" s="42"/>
      <c r="AD84" s="42"/>
      <c r="AE84" s="42"/>
      <c r="AF84" s="42"/>
      <c r="AG84" s="42"/>
      <c r="AH84" s="42"/>
      <c r="AI84" s="42"/>
      <c r="AJ84" s="42"/>
      <c r="AK84" s="42"/>
      <c r="AL84" s="42"/>
    </row>
    <row r="85" spans="1:38" x14ac:dyDescent="0.35">
      <c r="A85" s="1">
        <v>26</v>
      </c>
      <c r="B85" s="2" t="s">
        <v>68</v>
      </c>
      <c r="C85" s="9">
        <f t="shared" si="17"/>
        <v>19.581899710000005</v>
      </c>
      <c r="D85" s="9">
        <f t="shared" si="13"/>
        <v>16.934051869999994</v>
      </c>
      <c r="E85" s="38">
        <f>D85/C85-1</f>
        <v>-0.13521915029765064</v>
      </c>
      <c r="H85" s="2" t="s">
        <v>68</v>
      </c>
      <c r="I85" s="32"/>
      <c r="J85" s="32"/>
      <c r="K85" s="32"/>
      <c r="L85" s="32"/>
      <c r="M85" s="32"/>
      <c r="N85" s="32"/>
      <c r="O85" s="32"/>
      <c r="P85" s="32"/>
      <c r="Q85" s="9">
        <f t="shared" ref="Q85:W85" si="31">Q83-Q81</f>
        <v>16.722630229999996</v>
      </c>
      <c r="R85" s="9">
        <f t="shared" si="31"/>
        <v>9.1214044699999999</v>
      </c>
      <c r="S85" s="9">
        <f>S83-S81</f>
        <v>16.092304820000006</v>
      </c>
      <c r="T85" s="9">
        <f>T83-T81</f>
        <v>14.102576740000007</v>
      </c>
      <c r="U85" s="9">
        <f>U83-U81</f>
        <v>11.413736150000004</v>
      </c>
      <c r="V85" s="9">
        <f>V83-V81</f>
        <v>10.911691419999997</v>
      </c>
      <c r="W85" s="9">
        <f t="shared" si="31"/>
        <v>13.469644769999995</v>
      </c>
      <c r="X85" s="9">
        <f t="shared" ref="X85:Y85" si="32">X83-X81</f>
        <v>17.790658310000005</v>
      </c>
      <c r="Y85" s="9">
        <f t="shared" si="32"/>
        <v>9.9220379099999914</v>
      </c>
      <c r="Z85" s="9">
        <f t="shared" ref="Z85" si="33">Z83-Z81</f>
        <v>12.321331760000003</v>
      </c>
      <c r="AA85" s="9">
        <f t="shared" ref="AA85:AG85" si="34">AA83-AA81</f>
        <v>7.3580409999999983</v>
      </c>
      <c r="AB85" s="9">
        <f t="shared" si="34"/>
        <v>6.7242893699999993</v>
      </c>
      <c r="AC85" s="9">
        <f t="shared" si="34"/>
        <v>16.477185669999997</v>
      </c>
      <c r="AD85" s="9">
        <f t="shared" si="34"/>
        <v>18.472225720000001</v>
      </c>
      <c r="AE85" s="9">
        <f t="shared" si="34"/>
        <v>15.989242209999997</v>
      </c>
      <c r="AF85" s="9">
        <f t="shared" si="34"/>
        <v>18.991432969999998</v>
      </c>
      <c r="AG85" s="9">
        <f t="shared" si="34"/>
        <v>19.581899710000005</v>
      </c>
      <c r="AH85" s="9">
        <v>13.52670906</v>
      </c>
      <c r="AI85" s="9">
        <v>15.656362469999999</v>
      </c>
      <c r="AJ85" s="9">
        <f t="shared" ref="AJ85:AL85" si="35">AJ83-AJ81</f>
        <v>16.272895390000006</v>
      </c>
      <c r="AK85" s="9">
        <f t="shared" si="35"/>
        <v>16.934051869999994</v>
      </c>
      <c r="AL85" s="9">
        <f t="shared" si="35"/>
        <v>14.455169850000001</v>
      </c>
    </row>
    <row r="86" spans="1:38" x14ac:dyDescent="0.35">
      <c r="W86" s="53"/>
    </row>
    <row r="87" spans="1:38" x14ac:dyDescent="0.35">
      <c r="W87" s="53"/>
      <c r="AJ87" s="53"/>
      <c r="AK87" s="53"/>
      <c r="AL87" s="53"/>
    </row>
    <row r="88" spans="1:38" ht="92.25" customHeight="1" x14ac:dyDescent="0.35">
      <c r="B88" s="102" t="s">
        <v>132</v>
      </c>
      <c r="C88" s="102"/>
      <c r="D88" s="102"/>
      <c r="E88" s="102"/>
      <c r="W88" s="53"/>
    </row>
    <row r="89" spans="1:38" x14ac:dyDescent="0.35">
      <c r="AG89" s="53"/>
      <c r="AH89" s="53"/>
      <c r="AI89" s="53"/>
      <c r="AJ89" s="53"/>
      <c r="AK89" s="53"/>
      <c r="AL89" s="53"/>
    </row>
    <row r="90" spans="1:38" ht="226.5" customHeight="1" x14ac:dyDescent="0.35">
      <c r="B90" s="102"/>
      <c r="C90" s="102"/>
      <c r="D90" s="102"/>
      <c r="E90" s="102"/>
      <c r="W90" s="53"/>
    </row>
    <row r="91" spans="1:38" x14ac:dyDescent="0.35">
      <c r="W91" s="54"/>
    </row>
  </sheetData>
  <mergeCells count="59">
    <mergeCell ref="AL7:AL8"/>
    <mergeCell ref="AL60:AL61"/>
    <mergeCell ref="AK7:AK8"/>
    <mergeCell ref="AK60:AK61"/>
    <mergeCell ref="AF60:AF61"/>
    <mergeCell ref="AF7:AF8"/>
    <mergeCell ref="AE7:AE8"/>
    <mergeCell ref="AE60:AE61"/>
    <mergeCell ref="Z60:Z61"/>
    <mergeCell ref="AI7:AI8"/>
    <mergeCell ref="AI60:AI61"/>
    <mergeCell ref="AH7:AH8"/>
    <mergeCell ref="AH60:AH61"/>
    <mergeCell ref="AG7:AG8"/>
    <mergeCell ref="AG60:AG61"/>
    <mergeCell ref="Z7:Z8"/>
    <mergeCell ref="AA7:AA8"/>
    <mergeCell ref="AB7:AB8"/>
    <mergeCell ref="AC7:AC8"/>
    <mergeCell ref="AD7:AD8"/>
    <mergeCell ref="C7:C8"/>
    <mergeCell ref="D7:D8"/>
    <mergeCell ref="E7:E8"/>
    <mergeCell ref="U60:U61"/>
    <mergeCell ref="V60:V61"/>
    <mergeCell ref="E60:E61"/>
    <mergeCell ref="S60:S61"/>
    <mergeCell ref="T60:T61"/>
    <mergeCell ref="N60:N61"/>
    <mergeCell ref="O60:O61"/>
    <mergeCell ref="P60:P61"/>
    <mergeCell ref="Q60:Q61"/>
    <mergeCell ref="R60:R61"/>
    <mergeCell ref="I60:I61"/>
    <mergeCell ref="U7:U8"/>
    <mergeCell ref="V7:V8"/>
    <mergeCell ref="J60:J61"/>
    <mergeCell ref="K60:K61"/>
    <mergeCell ref="AJ7:AJ8"/>
    <mergeCell ref="AJ60:AJ61"/>
    <mergeCell ref="L60:L61"/>
    <mergeCell ref="M60:M61"/>
    <mergeCell ref="W60:W61"/>
    <mergeCell ref="AD60:AD61"/>
    <mergeCell ref="AC60:AC61"/>
    <mergeCell ref="AA60:AA61"/>
    <mergeCell ref="AB60:AB61"/>
    <mergeCell ref="Y60:Y61"/>
    <mergeCell ref="X60:X61"/>
    <mergeCell ref="W7:W8"/>
    <mergeCell ref="X7:X8"/>
    <mergeCell ref="Y7:Y8"/>
    <mergeCell ref="B90:E90"/>
    <mergeCell ref="C37:C38"/>
    <mergeCell ref="D37:D38"/>
    <mergeCell ref="E37:E38"/>
    <mergeCell ref="C60:C61"/>
    <mergeCell ref="D60:D61"/>
    <mergeCell ref="B88:E88"/>
  </mergeCells>
  <pageMargins left="0.7" right="0.7" top="0.75" bottom="0.75" header="0.3" footer="0.3"/>
  <pageSetup orientation="portrait" r:id="rId1"/>
  <ignoredErrors>
    <ignoredError sqref="AB10 AB70" formula="1"/>
    <ignoredError sqref="C64:E85 D63:E63"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Q50"/>
  <sheetViews>
    <sheetView topLeftCell="B1" zoomScale="80" zoomScaleNormal="80" workbookViewId="0">
      <selection activeCell="AT49" sqref="AT49"/>
    </sheetView>
  </sheetViews>
  <sheetFormatPr baseColWidth="10" defaultColWidth="11.44140625" defaultRowHeight="14.4" x14ac:dyDescent="0.35"/>
  <cols>
    <col min="1" max="1" width="11.44140625" style="1" hidden="1" customWidth="1"/>
    <col min="2" max="2" width="57" style="1" customWidth="1"/>
    <col min="3" max="7" width="11.44140625" style="1"/>
    <col min="8" max="8" width="60.6640625" style="1" customWidth="1"/>
    <col min="9" max="20" width="11.44140625" style="1" hidden="1" customWidth="1"/>
    <col min="21" max="26" width="15" style="1" hidden="1" customWidth="1"/>
    <col min="27" max="32" width="11.44140625" style="1" hidden="1" customWidth="1"/>
    <col min="33" max="34" width="11.44140625" style="1" customWidth="1"/>
    <col min="35" max="36" width="11.44140625" style="1" hidden="1" customWidth="1"/>
    <col min="37" max="16384" width="11.44140625" style="1"/>
  </cols>
  <sheetData>
    <row r="4" spans="1:43"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5" spans="1:43" ht="8.25" customHeight="1" x14ac:dyDescent="0.35"/>
    <row r="6" spans="1:43" x14ac:dyDescent="0.35">
      <c r="A6" s="1">
        <v>1</v>
      </c>
      <c r="B6" s="3" t="s">
        <v>96</v>
      </c>
      <c r="C6" s="100" t="s">
        <v>130</v>
      </c>
      <c r="D6" s="100" t="s">
        <v>144</v>
      </c>
      <c r="E6" s="100" t="s">
        <v>4</v>
      </c>
      <c r="H6" s="3" t="s">
        <v>96</v>
      </c>
      <c r="I6" s="100" t="s">
        <v>6</v>
      </c>
      <c r="J6" s="100" t="s">
        <v>7</v>
      </c>
      <c r="K6" s="100" t="s">
        <v>8</v>
      </c>
      <c r="L6" s="100" t="s">
        <v>9</v>
      </c>
      <c r="M6" s="100" t="s">
        <v>10</v>
      </c>
      <c r="N6" s="100" t="s">
        <v>11</v>
      </c>
      <c r="O6" s="100" t="s">
        <v>12</v>
      </c>
      <c r="P6" s="100" t="s">
        <v>13</v>
      </c>
      <c r="Q6" s="100" t="s">
        <v>14</v>
      </c>
      <c r="R6" s="100" t="s">
        <v>15</v>
      </c>
      <c r="S6" s="100" t="s">
        <v>16</v>
      </c>
      <c r="T6" s="100" t="s">
        <v>17</v>
      </c>
      <c r="U6" s="100" t="s">
        <v>18</v>
      </c>
      <c r="V6" s="100" t="s">
        <v>19</v>
      </c>
      <c r="W6" s="100" t="s">
        <v>20</v>
      </c>
      <c r="X6" s="100" t="s">
        <v>21</v>
      </c>
      <c r="Y6" s="100" t="s">
        <v>22</v>
      </c>
      <c r="Z6" s="100" t="s">
        <v>23</v>
      </c>
      <c r="AA6" s="100" t="s">
        <v>24</v>
      </c>
      <c r="AB6" s="100" t="s">
        <v>2</v>
      </c>
      <c r="AC6" s="100" t="s">
        <v>25</v>
      </c>
      <c r="AD6" s="100" t="s">
        <v>26</v>
      </c>
      <c r="AE6" s="100" t="s">
        <v>27</v>
      </c>
      <c r="AF6" s="100" t="s">
        <v>3</v>
      </c>
      <c r="AG6" s="100" t="s">
        <v>128</v>
      </c>
      <c r="AH6" s="100" t="s">
        <v>130</v>
      </c>
      <c r="AI6" s="100" t="s">
        <v>139</v>
      </c>
      <c r="AJ6" s="100" t="s">
        <v>141</v>
      </c>
      <c r="AK6" s="100" t="s">
        <v>143</v>
      </c>
      <c r="AL6" s="100" t="s">
        <v>144</v>
      </c>
    </row>
    <row r="7" spans="1:43" x14ac:dyDescent="0.35">
      <c r="A7" s="1">
        <v>2</v>
      </c>
      <c r="B7" s="3" t="s">
        <v>52</v>
      </c>
      <c r="C7" s="100"/>
      <c r="D7" s="100"/>
      <c r="E7" s="100"/>
      <c r="H7" s="3" t="s">
        <v>52</v>
      </c>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row>
    <row r="8" spans="1:43" ht="5.25" customHeight="1" x14ac:dyDescent="0.35">
      <c r="A8" s="1">
        <v>3</v>
      </c>
    </row>
    <row r="9" spans="1:43" x14ac:dyDescent="0.35">
      <c r="A9" s="1">
        <v>4</v>
      </c>
      <c r="B9" s="5" t="s">
        <v>69</v>
      </c>
      <c r="C9" s="8">
        <f>+HLOOKUP($C$6,$H$6:$AV$23,A9,FALSE)</f>
        <v>2.84445215</v>
      </c>
      <c r="D9" s="8">
        <f>+HLOOKUP($D$6,$H$6:$AV$23,A9,FALSE)</f>
        <v>1.07016618</v>
      </c>
      <c r="E9" s="36">
        <f>+D9/C9-1</f>
        <v>-0.62377072154298674</v>
      </c>
      <c r="H9" s="5" t="s">
        <v>69</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row>
    <row r="10" spans="1:43" x14ac:dyDescent="0.35">
      <c r="A10" s="1">
        <v>5</v>
      </c>
      <c r="B10" s="5" t="s">
        <v>70</v>
      </c>
      <c r="C10" s="8">
        <f t="shared" ref="C10:C23" si="0">+HLOOKUP($C$6,$H$6:$AV$23,A10,FALSE)</f>
        <v>-16.0913121</v>
      </c>
      <c r="D10" s="8">
        <f t="shared" ref="D10:D23" si="1">+HLOOKUP($D$6,$H$6:$AV$23,A10,FALSE)</f>
        <v>-15.183844811518998</v>
      </c>
      <c r="E10" s="36">
        <f t="shared" ref="E10:E13" si="2">+D10/C10-1</f>
        <v>-5.6394859713211454E-2</v>
      </c>
      <c r="H10" s="5" t="s">
        <v>70</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row>
    <row r="11" spans="1:43" x14ac:dyDescent="0.35">
      <c r="A11" s="1">
        <v>6</v>
      </c>
      <c r="B11" s="5" t="s">
        <v>71</v>
      </c>
      <c r="C11" s="8">
        <f t="shared" si="0"/>
        <v>6.4015687899999998</v>
      </c>
      <c r="D11" s="8">
        <f t="shared" si="1"/>
        <v>1.0239868724970975</v>
      </c>
      <c r="E11" s="94">
        <f t="shared" si="2"/>
        <v>-0.8400412608083373</v>
      </c>
      <c r="H11" s="5" t="s">
        <v>71</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row>
    <row r="12" spans="1:43" x14ac:dyDescent="0.35">
      <c r="A12" s="1">
        <v>7</v>
      </c>
      <c r="B12" s="5" t="s">
        <v>72</v>
      </c>
      <c r="C12" s="8">
        <f t="shared" si="0"/>
        <v>2.14213787</v>
      </c>
      <c r="D12" s="8">
        <f t="shared" si="1"/>
        <v>1.9524835000000005</v>
      </c>
      <c r="E12" s="36">
        <f t="shared" si="2"/>
        <v>-8.8535090414138207E-2</v>
      </c>
      <c r="H12" s="5" t="s">
        <v>72</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row>
    <row r="13" spans="1:43" x14ac:dyDescent="0.35">
      <c r="A13" s="1">
        <v>8</v>
      </c>
      <c r="B13" s="5" t="s">
        <v>73</v>
      </c>
      <c r="C13" s="8">
        <f t="shared" si="0"/>
        <v>-8.2086153999999993</v>
      </c>
      <c r="D13" s="8">
        <f t="shared" si="1"/>
        <v>-22.324859756708801</v>
      </c>
      <c r="E13" s="36">
        <f t="shared" si="2"/>
        <v>1.7196864110247878</v>
      </c>
      <c r="H13" s="5" t="s">
        <v>73</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O13" s="91"/>
      <c r="AP13" s="91"/>
      <c r="AQ13" s="91"/>
    </row>
    <row r="14" spans="1:43" ht="5.25" customHeight="1" x14ac:dyDescent="0.35">
      <c r="A14" s="1">
        <v>9</v>
      </c>
      <c r="E14" s="39"/>
    </row>
    <row r="15" spans="1:43" x14ac:dyDescent="0.35">
      <c r="A15" s="1">
        <v>10</v>
      </c>
      <c r="B15" s="6" t="s">
        <v>74</v>
      </c>
      <c r="C15" s="9">
        <f t="shared" si="0"/>
        <v>-12.911768689999999</v>
      </c>
      <c r="D15" s="9">
        <f t="shared" si="1"/>
        <v>-33.462068015730701</v>
      </c>
      <c r="E15" s="38">
        <f>D15/C15-1</f>
        <v>1.591594445278953</v>
      </c>
      <c r="H15" s="6" t="s">
        <v>74</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SUM(AI9:AI13)</f>
        <v>-18.343538010000007</v>
      </c>
      <c r="AJ15" s="9">
        <f>SUM(AJ9:AJ13)</f>
        <v>-20.672808236935449</v>
      </c>
      <c r="AK15" s="9">
        <f>SUM(AK9:AK13)</f>
        <v>-36.077653113024901</v>
      </c>
      <c r="AL15" s="9">
        <f>SUM(AL9:AL13)</f>
        <v>-33.462068015730701</v>
      </c>
    </row>
    <row r="16" spans="1:43" ht="5.25" customHeight="1" x14ac:dyDescent="0.35">
      <c r="A16" s="1">
        <v>11</v>
      </c>
      <c r="E16" s="39"/>
    </row>
    <row r="17" spans="1:38" x14ac:dyDescent="0.35">
      <c r="A17" s="1">
        <v>12</v>
      </c>
      <c r="B17" s="6" t="s">
        <v>75</v>
      </c>
      <c r="C17" s="9">
        <f t="shared" si="0"/>
        <v>79.320968449999995</v>
      </c>
      <c r="D17" s="9">
        <f t="shared" si="1"/>
        <v>34.078006910840791</v>
      </c>
      <c r="E17" s="38">
        <f>D17/C17-1</f>
        <v>-0.57037833026053031</v>
      </c>
      <c r="H17" s="6" t="s">
        <v>75</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97.254436119999994</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row>
    <row r="18" spans="1:38" ht="5.25" customHeight="1" x14ac:dyDescent="0.35">
      <c r="A18" s="1">
        <v>13</v>
      </c>
      <c r="E18" s="39"/>
    </row>
    <row r="19" spans="1:38" x14ac:dyDescent="0.35">
      <c r="A19" s="1">
        <v>14</v>
      </c>
      <c r="B19" s="5" t="s">
        <v>76</v>
      </c>
      <c r="C19" s="8">
        <f t="shared" si="0"/>
        <v>-20.604219349999997</v>
      </c>
      <c r="D19" s="8">
        <f t="shared" si="1"/>
        <v>-18.134583996124501</v>
      </c>
      <c r="E19" s="49" t="s">
        <v>44</v>
      </c>
      <c r="H19" s="5" t="s">
        <v>76</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row>
    <row r="20" spans="1:38" ht="5.25" customHeight="1" x14ac:dyDescent="0.35">
      <c r="A20" s="1">
        <v>15</v>
      </c>
      <c r="E20" s="39"/>
    </row>
    <row r="21" spans="1:38" x14ac:dyDescent="0.35">
      <c r="A21" s="1">
        <v>16</v>
      </c>
      <c r="B21" s="3" t="s">
        <v>77</v>
      </c>
      <c r="C21" s="10">
        <f t="shared" si="0"/>
        <v>58.716749100000001</v>
      </c>
      <c r="D21" s="10">
        <f t="shared" si="1"/>
        <v>37.339180980840787</v>
      </c>
      <c r="E21" s="51" t="s">
        <v>44</v>
      </c>
      <c r="H21" s="3" t="s">
        <v>77</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4">+V17+V19</f>
        <v>79.445128930000024</v>
      </c>
      <c r="W21" s="17">
        <f t="shared" si="4"/>
        <v>70.00171270999995</v>
      </c>
      <c r="X21" s="17">
        <f t="shared" si="4"/>
        <v>73.361478960000056</v>
      </c>
      <c r="Y21" s="17">
        <f t="shared" si="4"/>
        <v>65.876825310000044</v>
      </c>
      <c r="Z21" s="17">
        <f t="shared" si="4"/>
        <v>48.131741559999966</v>
      </c>
      <c r="AA21" s="17">
        <f t="shared" si="4"/>
        <v>59.815981430000029</v>
      </c>
      <c r="AB21" s="17">
        <f t="shared" si="4"/>
        <v>66.087533679999993</v>
      </c>
      <c r="AC21" s="17">
        <f>+AC17+AC19</f>
        <v>61.372555550000001</v>
      </c>
      <c r="AD21" s="17">
        <f t="shared" ref="AD21:AG21" si="5">+AD17+AD19</f>
        <v>61.205108160000037</v>
      </c>
      <c r="AE21" s="17">
        <f t="shared" si="5"/>
        <v>63.603551690000003</v>
      </c>
      <c r="AF21" s="17">
        <f t="shared" si="5"/>
        <v>16.889084191313714</v>
      </c>
      <c r="AG21" s="17">
        <f t="shared" si="5"/>
        <v>47.022925539999996</v>
      </c>
      <c r="AH21" s="17">
        <f>+AH17+AH19</f>
        <v>58.716749100000001</v>
      </c>
      <c r="AI21" s="17">
        <f>62.20715213-AI46</f>
        <v>64.605734240000004</v>
      </c>
      <c r="AJ21" s="17">
        <f t="shared" ref="AJ21" si="6">+AJ17+AJ19</f>
        <v>66.30024252699377</v>
      </c>
      <c r="AK21" s="17">
        <f>+-41.2161135274282-AK44</f>
        <v>-36.529066297428194</v>
      </c>
      <c r="AL21" s="17">
        <f>32.8849414708408-AL44</f>
        <v>37.339180980840787</v>
      </c>
    </row>
    <row r="22" spans="1:38" ht="5.25" customHeight="1" x14ac:dyDescent="0.35">
      <c r="A22" s="1">
        <v>17</v>
      </c>
      <c r="E22" s="39"/>
    </row>
    <row r="23" spans="1:38" x14ac:dyDescent="0.35">
      <c r="A23" s="1">
        <v>18</v>
      </c>
      <c r="B23" s="5" t="s">
        <v>78</v>
      </c>
      <c r="C23" s="8">
        <f t="shared" si="0"/>
        <v>54.130137500000004</v>
      </c>
      <c r="D23" s="8">
        <f t="shared" si="1"/>
        <v>35.09246243742836</v>
      </c>
      <c r="E23" s="49" t="s">
        <v>44</v>
      </c>
      <c r="H23" s="5" t="s">
        <v>78</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row>
    <row r="24" spans="1:38" x14ac:dyDescent="0.35">
      <c r="AG24" s="48"/>
    </row>
    <row r="26" spans="1:38" x14ac:dyDescent="0.35">
      <c r="U26" s="33"/>
      <c r="V26" s="33"/>
      <c r="W26" s="33"/>
      <c r="X26" s="33"/>
      <c r="Y26" s="33"/>
      <c r="Z26" s="33"/>
      <c r="AA26" s="33"/>
      <c r="AB26" s="33"/>
      <c r="AC26" s="33"/>
      <c r="AD26" s="33"/>
      <c r="AE26" s="33"/>
      <c r="AF26" s="33"/>
      <c r="AG26" s="33"/>
      <c r="AH26" s="33"/>
      <c r="AI26" s="33"/>
      <c r="AJ26" s="33"/>
      <c r="AK26" s="33"/>
      <c r="AL26" s="33"/>
    </row>
    <row r="28" spans="1:38" ht="23.4" x14ac:dyDescent="0.45">
      <c r="B28" s="12" t="s">
        <v>46</v>
      </c>
      <c r="C28" s="13"/>
      <c r="D28" s="13"/>
      <c r="E28" s="13"/>
      <c r="H28" s="12" t="s">
        <v>46</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row>
    <row r="29" spans="1:38" ht="5.25" customHeight="1" x14ac:dyDescent="0.35"/>
    <row r="30" spans="1:38" ht="15.75" customHeight="1" x14ac:dyDescent="0.35">
      <c r="A30" s="1">
        <v>1</v>
      </c>
      <c r="B30" s="3" t="s">
        <v>96</v>
      </c>
      <c r="C30" s="100" t="s">
        <v>128</v>
      </c>
      <c r="D30" s="100" t="s">
        <v>143</v>
      </c>
      <c r="E30" s="100" t="s">
        <v>4</v>
      </c>
      <c r="H30" s="3" t="s">
        <v>96</v>
      </c>
      <c r="I30" s="100" t="s">
        <v>6</v>
      </c>
      <c r="J30" s="100" t="s">
        <v>7</v>
      </c>
      <c r="K30" s="100" t="s">
        <v>8</v>
      </c>
      <c r="L30" s="100" t="s">
        <v>9</v>
      </c>
      <c r="M30" s="100" t="s">
        <v>10</v>
      </c>
      <c r="N30" s="100" t="s">
        <v>11</v>
      </c>
      <c r="O30" s="100" t="s">
        <v>12</v>
      </c>
      <c r="P30" s="100" t="s">
        <v>13</v>
      </c>
      <c r="Q30" s="100" t="s">
        <v>14</v>
      </c>
      <c r="R30" s="100" t="s">
        <v>15</v>
      </c>
      <c r="S30" s="100" t="s">
        <v>16</v>
      </c>
      <c r="T30" s="100" t="s">
        <v>17</v>
      </c>
      <c r="U30" s="100" t="s">
        <v>18</v>
      </c>
      <c r="V30" s="100" t="s">
        <v>19</v>
      </c>
      <c r="W30" s="100" t="s">
        <v>20</v>
      </c>
      <c r="X30" s="100" t="s">
        <v>21</v>
      </c>
      <c r="Y30" s="100" t="s">
        <v>22</v>
      </c>
      <c r="Z30" s="100" t="s">
        <v>23</v>
      </c>
      <c r="AA30" s="100" t="s">
        <v>24</v>
      </c>
      <c r="AB30" s="100" t="s">
        <v>2</v>
      </c>
      <c r="AC30" s="100" t="s">
        <v>25</v>
      </c>
      <c r="AD30" s="100" t="s">
        <v>26</v>
      </c>
      <c r="AE30" s="100" t="s">
        <v>27</v>
      </c>
      <c r="AF30" s="100" t="s">
        <v>3</v>
      </c>
      <c r="AG30" s="100" t="s">
        <v>128</v>
      </c>
      <c r="AH30" s="100" t="s">
        <v>130</v>
      </c>
      <c r="AI30" s="100" t="s">
        <v>139</v>
      </c>
      <c r="AJ30" s="100" t="s">
        <v>141</v>
      </c>
      <c r="AK30" s="100" t="s">
        <v>143</v>
      </c>
      <c r="AL30" s="100" t="s">
        <v>144</v>
      </c>
    </row>
    <row r="31" spans="1:38" x14ac:dyDescent="0.35">
      <c r="A31" s="1">
        <v>2</v>
      </c>
      <c r="B31" s="3" t="s">
        <v>52</v>
      </c>
      <c r="C31" s="100"/>
      <c r="D31" s="100"/>
      <c r="E31" s="100"/>
      <c r="H31" s="3" t="s">
        <v>52</v>
      </c>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row>
    <row r="32" spans="1:38" ht="5.25" customHeight="1" x14ac:dyDescent="0.35">
      <c r="A32" s="1">
        <v>3</v>
      </c>
    </row>
    <row r="33" spans="1:38" x14ac:dyDescent="0.35">
      <c r="A33" s="1">
        <v>4</v>
      </c>
      <c r="B33" s="5" t="s">
        <v>69</v>
      </c>
      <c r="C33" s="8">
        <f>+HLOOKUP($C$30,$H$30:$AP$46,A33,FALSE)</f>
        <v>0.13774836000000001</v>
      </c>
      <c r="D33" s="8">
        <f>+HLOOKUP($D$30,$H$30:$AP$46,A33,FALSE)</f>
        <v>5.6700750000000001E-2</v>
      </c>
      <c r="E33" s="36">
        <f>+D33/C33-1</f>
        <v>-0.58837440968444199</v>
      </c>
      <c r="H33" s="5" t="s">
        <v>69</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row>
    <row r="34" spans="1:38" x14ac:dyDescent="0.35">
      <c r="A34" s="1">
        <v>5</v>
      </c>
      <c r="B34" s="5" t="s">
        <v>70</v>
      </c>
      <c r="C34" s="8">
        <f t="shared" ref="C34:C44" si="7">+HLOOKUP($C$30,$H$30:$AP$46,A34,FALSE)</f>
        <v>-6.8489455400000008</v>
      </c>
      <c r="D34" s="8">
        <f t="shared" ref="D34:D46" si="8">+HLOOKUP($D$30,$H$30:$AP$46,A34,FALSE)</f>
        <v>-6.62607137</v>
      </c>
      <c r="E34" s="36">
        <f t="shared" ref="E34:E38" si="9">+D34/C34-1</f>
        <v>-3.2541384465439971E-2</v>
      </c>
      <c r="H34" s="5" t="s">
        <v>70</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row>
    <row r="35" spans="1:38" x14ac:dyDescent="0.35">
      <c r="A35" s="1">
        <v>6</v>
      </c>
      <c r="B35" s="5" t="s">
        <v>71</v>
      </c>
      <c r="C35" s="8">
        <f t="shared" si="7"/>
        <v>-1.33876522</v>
      </c>
      <c r="D35" s="8">
        <f t="shared" si="8"/>
        <v>-1.01300134</v>
      </c>
      <c r="E35" s="49">
        <f t="shared" si="9"/>
        <v>-0.24333159775393631</v>
      </c>
      <c r="H35" s="5" t="s">
        <v>71</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row>
    <row r="36" spans="1:38" x14ac:dyDescent="0.35">
      <c r="A36" s="1">
        <v>7</v>
      </c>
      <c r="B36" s="5" t="s">
        <v>73</v>
      </c>
      <c r="C36" s="8">
        <f t="shared" si="7"/>
        <v>-1.0997716499999999</v>
      </c>
      <c r="D36" s="8">
        <f t="shared" si="8"/>
        <v>-0.2058789</v>
      </c>
      <c r="E36" s="49">
        <f t="shared" si="9"/>
        <v>-0.81279850230727435</v>
      </c>
      <c r="H36" s="5" t="s">
        <v>73</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row>
    <row r="37" spans="1:38" ht="5.25" customHeight="1" x14ac:dyDescent="0.35">
      <c r="A37" s="1">
        <v>8</v>
      </c>
      <c r="E37" s="88"/>
      <c r="S37" s="15"/>
    </row>
    <row r="38" spans="1:38" x14ac:dyDescent="0.35">
      <c r="A38" s="1">
        <v>9</v>
      </c>
      <c r="B38" s="6" t="s">
        <v>74</v>
      </c>
      <c r="C38" s="9">
        <f t="shared" si="7"/>
        <v>-9.1497340500000011</v>
      </c>
      <c r="D38" s="9">
        <f t="shared" si="8"/>
        <v>-7.7882508599999998</v>
      </c>
      <c r="E38" s="95">
        <f t="shared" si="9"/>
        <v>-0.14880030201533578</v>
      </c>
      <c r="H38" s="6" t="s">
        <v>74</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L38" si="10">+SUM(AD33:AD36)</f>
        <v>-9.3882581300000005</v>
      </c>
      <c r="AE38" s="9">
        <f t="shared" si="10"/>
        <v>-10.223773319999999</v>
      </c>
      <c r="AF38" s="9">
        <f t="shared" si="10"/>
        <v>-6.8874426900000003</v>
      </c>
      <c r="AG38" s="9">
        <f t="shared" si="10"/>
        <v>-9.1497340500000011</v>
      </c>
      <c r="AH38" s="9">
        <f t="shared" si="10"/>
        <v>-9.1990178</v>
      </c>
      <c r="AI38" s="9">
        <f t="shared" si="10"/>
        <v>-6.503122450000002</v>
      </c>
      <c r="AJ38" s="9">
        <f t="shared" si="10"/>
        <v>-186.71408519999997</v>
      </c>
      <c r="AK38" s="9">
        <f t="shared" si="10"/>
        <v>-7.7882508599999998</v>
      </c>
      <c r="AL38" s="9">
        <f t="shared" si="10"/>
        <v>-6.8635648000000016</v>
      </c>
    </row>
    <row r="39" spans="1:38" ht="5.25" customHeight="1" x14ac:dyDescent="0.35">
      <c r="A39" s="1">
        <v>10</v>
      </c>
      <c r="E39" s="88"/>
      <c r="S39" s="15"/>
    </row>
    <row r="40" spans="1:38" x14ac:dyDescent="0.35">
      <c r="A40" s="1">
        <v>11</v>
      </c>
      <c r="B40" s="6" t="s">
        <v>75</v>
      </c>
      <c r="C40" s="9">
        <f t="shared" si="7"/>
        <v>-0.71223130999999817</v>
      </c>
      <c r="D40" s="9">
        <f t="shared" si="8"/>
        <v>0.19442329999999686</v>
      </c>
      <c r="E40" s="62" t="s">
        <v>44</v>
      </c>
      <c r="H40" s="6" t="s">
        <v>75</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Income'!D83+AB38</f>
        <v>2.6861129199999949</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row>
    <row r="41" spans="1:38" ht="5.25" customHeight="1" x14ac:dyDescent="0.35">
      <c r="A41" s="1">
        <v>12</v>
      </c>
      <c r="E41" s="39"/>
      <c r="S41" s="15"/>
    </row>
    <row r="42" spans="1:38" x14ac:dyDescent="0.35">
      <c r="A42" s="1">
        <v>13</v>
      </c>
      <c r="B42" s="5" t="s">
        <v>76</v>
      </c>
      <c r="C42" s="8">
        <f t="shared" si="7"/>
        <v>-5.8510186199999996</v>
      </c>
      <c r="D42" s="8">
        <f t="shared" si="8"/>
        <v>-4.8814705299999996</v>
      </c>
      <c r="E42" s="36">
        <f t="shared" ref="E42:E44" si="11">+D42/C42-1</f>
        <v>-0.16570586302458223</v>
      </c>
      <c r="H42" s="5" t="s">
        <v>76</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row>
    <row r="43" spans="1:38" ht="5.25" customHeight="1" x14ac:dyDescent="0.35">
      <c r="A43" s="1">
        <v>14</v>
      </c>
      <c r="E43" s="39"/>
      <c r="S43" s="15"/>
    </row>
    <row r="44" spans="1:38" x14ac:dyDescent="0.35">
      <c r="A44" s="1">
        <v>15</v>
      </c>
      <c r="B44" s="3" t="s">
        <v>77</v>
      </c>
      <c r="C44" s="50">
        <f t="shared" si="7"/>
        <v>-6.5632499299999978</v>
      </c>
      <c r="D44" s="50">
        <f t="shared" si="8"/>
        <v>-4.6870472300000028</v>
      </c>
      <c r="E44" s="51">
        <f t="shared" si="11"/>
        <v>-0.28586488706213198</v>
      </c>
      <c r="H44" s="3" t="s">
        <v>77</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1.286112919999995</v>
      </c>
      <c r="AC44" s="17">
        <f>+AC40+AC42</f>
        <v>4.1620151400000056</v>
      </c>
      <c r="AD44" s="17">
        <f t="shared" ref="AD44:AG44" si="12">+AD40+AD42</f>
        <v>0.17004293000000326</v>
      </c>
      <c r="AE44" s="17">
        <f t="shared" si="12"/>
        <v>-8.9109858000000024</v>
      </c>
      <c r="AF44" s="17">
        <f t="shared" si="12"/>
        <v>2.5943269099999915</v>
      </c>
      <c r="AG44" s="17">
        <f t="shared" si="12"/>
        <v>-6.5632499299999978</v>
      </c>
      <c r="AH44" s="17">
        <v>-9.0495119099999997</v>
      </c>
      <c r="AI44" s="17">
        <v>-4.8452505800000036</v>
      </c>
      <c r="AJ44" s="17">
        <f t="shared" ref="AJ44:AL44" si="13">+AJ40+AJ42</f>
        <v>-129.17836936999996</v>
      </c>
      <c r="AK44" s="17">
        <f t="shared" si="13"/>
        <v>-4.6870472300000028</v>
      </c>
      <c r="AL44" s="17">
        <f t="shared" si="13"/>
        <v>-4.4542395099999865</v>
      </c>
    </row>
    <row r="45" spans="1:38" ht="5.25" customHeight="1" x14ac:dyDescent="0.35">
      <c r="A45" s="1">
        <v>16</v>
      </c>
      <c r="E45" s="39"/>
      <c r="S45" s="15"/>
    </row>
    <row r="46" spans="1:38" x14ac:dyDescent="0.35">
      <c r="A46" s="1">
        <v>17</v>
      </c>
      <c r="B46" s="5" t="s">
        <v>78</v>
      </c>
      <c r="C46" s="8">
        <f>+HLOOKUP($C$30,$H$30:$AP$47,A46,FALSE)</f>
        <v>-3.3231319199999976</v>
      </c>
      <c r="D46" s="8">
        <f t="shared" si="8"/>
        <v>-2.32373685</v>
      </c>
      <c r="E46" s="49"/>
      <c r="H46" s="5" t="s">
        <v>78</v>
      </c>
      <c r="I46" s="18"/>
      <c r="J46" s="18"/>
      <c r="K46" s="18"/>
      <c r="L46" s="18"/>
      <c r="M46" s="18"/>
      <c r="N46" s="18"/>
      <c r="O46" s="18"/>
      <c r="P46" s="18"/>
      <c r="Q46" s="8">
        <f>+Q44*0.51</f>
        <v>3.860335737599998</v>
      </c>
      <c r="R46" s="8">
        <f t="shared" ref="R46:T46" si="14">+R44*0.51</f>
        <v>-0.2096214750000005</v>
      </c>
      <c r="S46" s="8">
        <f t="shared" si="14"/>
        <v>-0.75856034730000055</v>
      </c>
      <c r="T46" s="8">
        <f t="shared" si="14"/>
        <v>0.89423306670000302</v>
      </c>
      <c r="U46" s="8">
        <f>+U44-U47</f>
        <v>4.171250910000003</v>
      </c>
      <c r="V46" s="8">
        <f t="shared" ref="V46:AF46" si="15">+V44-V47</f>
        <v>-12.129309620000004</v>
      </c>
      <c r="W46" s="8">
        <f t="shared" si="15"/>
        <v>0.13145553999999782</v>
      </c>
      <c r="X46" s="8">
        <f t="shared" si="15"/>
        <v>3.2719259700000043</v>
      </c>
      <c r="Y46" s="8">
        <f t="shared" si="15"/>
        <v>-0.71925135000000906</v>
      </c>
      <c r="Z46" s="8">
        <f t="shared" si="15"/>
        <v>-1.6347808199999949</v>
      </c>
      <c r="AA46" s="8">
        <f t="shared" si="15"/>
        <v>-2.9987468100000014</v>
      </c>
      <c r="AB46" s="8">
        <f t="shared" si="15"/>
        <v>5.790584539999994</v>
      </c>
      <c r="AC46" s="8">
        <f t="shared" si="15"/>
        <v>3.0307739099999909</v>
      </c>
      <c r="AD46" s="8">
        <f t="shared" si="15"/>
        <v>0.11151201000000327</v>
      </c>
      <c r="AE46" s="8">
        <f t="shared" si="15"/>
        <v>-4.5163217200000023</v>
      </c>
      <c r="AF46" s="8">
        <f t="shared" si="15"/>
        <v>1.3496086499999913</v>
      </c>
      <c r="AG46" s="8">
        <f>+AG44-AG47</f>
        <v>-3.3231319199999976</v>
      </c>
      <c r="AH46" s="8">
        <f>+AH44-AH47</f>
        <v>-4.5866115999999995</v>
      </c>
      <c r="AI46" s="8">
        <v>-2.39858211</v>
      </c>
      <c r="AJ46" s="8">
        <f>+AJ44-AJ47</f>
        <v>-65.880968378699976</v>
      </c>
      <c r="AK46" s="8">
        <v>-2.32373685</v>
      </c>
      <c r="AL46" s="8">
        <f>+AL44*0.49</f>
        <v>-2.1825773598999936</v>
      </c>
    </row>
    <row r="47" spans="1:38" x14ac:dyDescent="0.35">
      <c r="A47" s="1">
        <v>18</v>
      </c>
      <c r="B47" s="5" t="s">
        <v>79</v>
      </c>
      <c r="C47" s="8">
        <f>+HLOOKUP($C$30,$H$30:$AP$47,A47,FALSE)</f>
        <v>-3.2401180100000002</v>
      </c>
      <c r="D47" s="8">
        <f>+HLOOKUP($D$30,$H$30:$AP$47,A47,FALSE)</f>
        <v>-2.3633103800000028</v>
      </c>
      <c r="E47" s="49"/>
      <c r="H47" s="5" t="s">
        <v>79</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row>
    <row r="48" spans="1:38" x14ac:dyDescent="0.35">
      <c r="U48" s="82"/>
      <c r="V48" s="82"/>
      <c r="W48" s="82"/>
      <c r="X48" s="82"/>
      <c r="Y48" s="82"/>
      <c r="Z48" s="82"/>
      <c r="AA48" s="82"/>
      <c r="AB48" s="82"/>
      <c r="AC48" s="82"/>
      <c r="AD48" s="82"/>
      <c r="AE48" s="82"/>
      <c r="AF48" s="82"/>
      <c r="AG48" s="82"/>
      <c r="AH48" s="82"/>
      <c r="AI48" s="82"/>
      <c r="AJ48" s="82"/>
      <c r="AK48" s="82"/>
      <c r="AL48" s="82"/>
    </row>
    <row r="49" spans="2:6" ht="183" customHeight="1" x14ac:dyDescent="0.35">
      <c r="B49" s="102" t="s">
        <v>129</v>
      </c>
      <c r="C49" s="102"/>
      <c r="D49" s="102"/>
      <c r="E49" s="102"/>
    </row>
    <row r="50" spans="2:6" x14ac:dyDescent="0.35">
      <c r="F50" s="1" t="s">
        <v>97</v>
      </c>
    </row>
  </sheetData>
  <mergeCells count="67">
    <mergeCell ref="AL6:AL7"/>
    <mergeCell ref="AL30:AL31"/>
    <mergeCell ref="AK6:AK7"/>
    <mergeCell ref="AK30:AK31"/>
    <mergeCell ref="AI6:AI7"/>
    <mergeCell ref="AI30:AI31"/>
    <mergeCell ref="AH6:AH7"/>
    <mergeCell ref="AH30:AH31"/>
    <mergeCell ref="AJ6:AJ7"/>
    <mergeCell ref="AJ30:AJ31"/>
    <mergeCell ref="AG6:AG7"/>
    <mergeCell ref="AG30:AG31"/>
    <mergeCell ref="AF30:AF31"/>
    <mergeCell ref="AF6:AF7"/>
    <mergeCell ref="Q6:Q7"/>
    <mergeCell ref="AE6:AE7"/>
    <mergeCell ref="AE30:AE31"/>
    <mergeCell ref="AD6:AD7"/>
    <mergeCell ref="AD30:AD31"/>
    <mergeCell ref="W6:W7"/>
    <mergeCell ref="W30:W31"/>
    <mergeCell ref="Y6:Y7"/>
    <mergeCell ref="Y30:Y31"/>
    <mergeCell ref="AA6:AA7"/>
    <mergeCell ref="AA30:AA31"/>
    <mergeCell ref="X6:X7"/>
    <mergeCell ref="X30:X31"/>
    <mergeCell ref="AC6:AC7"/>
    <mergeCell ref="AC30:AC31"/>
    <mergeCell ref="AB6:AB7"/>
    <mergeCell ref="AB30:AB31"/>
    <mergeCell ref="Z6:Z7"/>
    <mergeCell ref="Z30:Z31"/>
    <mergeCell ref="R6:R7"/>
    <mergeCell ref="S6:S7"/>
    <mergeCell ref="T6:T7"/>
    <mergeCell ref="U6:U7"/>
    <mergeCell ref="V30:V31"/>
    <mergeCell ref="U30:U31"/>
    <mergeCell ref="R30:R31"/>
    <mergeCell ref="V6:V7"/>
    <mergeCell ref="C6:C7"/>
    <mergeCell ref="D6:D7"/>
    <mergeCell ref="E6:E7"/>
    <mergeCell ref="C30:C31"/>
    <mergeCell ref="D30:D31"/>
    <mergeCell ref="E30:E31"/>
    <mergeCell ref="I6:I7"/>
    <mergeCell ref="J6:J7"/>
    <mergeCell ref="K6:K7"/>
    <mergeCell ref="L6:L7"/>
    <mergeCell ref="M6:M7"/>
    <mergeCell ref="B49:E49"/>
    <mergeCell ref="I30:I31"/>
    <mergeCell ref="J30:J31"/>
    <mergeCell ref="S30:S31"/>
    <mergeCell ref="T30:T31"/>
    <mergeCell ref="O30:O31"/>
    <mergeCell ref="P30:P31"/>
    <mergeCell ref="Q30:Q31"/>
    <mergeCell ref="N30:N31"/>
    <mergeCell ref="P6:P7"/>
    <mergeCell ref="O6:O7"/>
    <mergeCell ref="K30:K31"/>
    <mergeCell ref="L30:L31"/>
    <mergeCell ref="M30:M31"/>
    <mergeCell ref="N6:N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B49"/>
  <sheetViews>
    <sheetView topLeftCell="B1" zoomScale="90" zoomScaleNormal="90" workbookViewId="0">
      <selection activeCell="Z38" sqref="Z38"/>
    </sheetView>
  </sheetViews>
  <sheetFormatPr baseColWidth="10" defaultColWidth="11.44140625" defaultRowHeight="14.4" x14ac:dyDescent="0.35"/>
  <cols>
    <col min="1" max="1" width="0" style="1" hidden="1" customWidth="1"/>
    <col min="2" max="2" width="51" style="1" customWidth="1"/>
    <col min="3" max="7" width="11.44140625" style="1"/>
    <col min="8" max="8" width="38.6640625" style="1" customWidth="1"/>
    <col min="9" max="24" width="11.44140625" style="1" customWidth="1"/>
    <col min="25" max="16384" width="11.44140625" style="1"/>
  </cols>
  <sheetData>
    <row r="4" spans="1:28" ht="23.4" x14ac:dyDescent="0.45">
      <c r="B4" s="12" t="s">
        <v>0</v>
      </c>
      <c r="C4" s="13"/>
      <c r="D4" s="13"/>
      <c r="E4" s="13"/>
      <c r="H4" s="12" t="s">
        <v>0</v>
      </c>
      <c r="I4" s="13"/>
      <c r="J4" s="13"/>
      <c r="K4" s="13"/>
      <c r="L4" s="13"/>
      <c r="M4" s="13"/>
      <c r="N4" s="13"/>
      <c r="O4" s="13"/>
      <c r="P4" s="13"/>
      <c r="Q4" s="13"/>
      <c r="R4" s="13"/>
      <c r="S4" s="13"/>
      <c r="T4" s="13"/>
      <c r="U4" s="13"/>
      <c r="V4" s="13"/>
      <c r="W4" s="13"/>
      <c r="X4" s="13"/>
      <c r="Y4" s="13"/>
      <c r="Z4" s="13"/>
    </row>
    <row r="5" spans="1:28" ht="7.5" customHeight="1" x14ac:dyDescent="0.35"/>
    <row r="6" spans="1:28" ht="15.75" customHeight="1" x14ac:dyDescent="0.35">
      <c r="A6" s="1">
        <v>1</v>
      </c>
      <c r="B6" s="3" t="s">
        <v>98</v>
      </c>
      <c r="C6" s="104" t="s">
        <v>141</v>
      </c>
      <c r="D6" s="104" t="s">
        <v>144</v>
      </c>
      <c r="E6" s="100" t="s">
        <v>4</v>
      </c>
      <c r="H6" s="3" t="s">
        <v>98</v>
      </c>
      <c r="I6" s="100" t="s">
        <v>18</v>
      </c>
      <c r="J6" s="100" t="s">
        <v>19</v>
      </c>
      <c r="K6" s="100" t="s">
        <v>20</v>
      </c>
      <c r="L6" s="100" t="s">
        <v>21</v>
      </c>
      <c r="M6" s="100" t="s">
        <v>22</v>
      </c>
      <c r="N6" s="100" t="s">
        <v>23</v>
      </c>
      <c r="O6" s="100" t="s">
        <v>24</v>
      </c>
      <c r="P6" s="100" t="s">
        <v>2</v>
      </c>
      <c r="Q6" s="100" t="s">
        <v>25</v>
      </c>
      <c r="R6" s="100" t="s">
        <v>26</v>
      </c>
      <c r="S6" s="100" t="s">
        <v>27</v>
      </c>
      <c r="T6" s="100" t="s">
        <v>3</v>
      </c>
      <c r="U6" s="100" t="s">
        <v>128</v>
      </c>
      <c r="V6" s="100" t="s">
        <v>130</v>
      </c>
      <c r="W6" s="100" t="s">
        <v>139</v>
      </c>
      <c r="X6" s="100" t="s">
        <v>141</v>
      </c>
      <c r="Y6" s="100" t="s">
        <v>143</v>
      </c>
      <c r="Z6" s="100" t="s">
        <v>144</v>
      </c>
    </row>
    <row r="7" spans="1:28" x14ac:dyDescent="0.35">
      <c r="A7" s="1">
        <v>2</v>
      </c>
      <c r="B7" s="3" t="s">
        <v>52</v>
      </c>
      <c r="C7" s="104"/>
      <c r="D7" s="104"/>
      <c r="E7" s="100"/>
      <c r="H7" s="3" t="s">
        <v>52</v>
      </c>
      <c r="I7" s="100"/>
      <c r="J7" s="100"/>
      <c r="K7" s="100"/>
      <c r="L7" s="100"/>
      <c r="M7" s="100"/>
      <c r="N7" s="100"/>
      <c r="O7" s="100"/>
      <c r="P7" s="100"/>
      <c r="Q7" s="100"/>
      <c r="R7" s="100"/>
      <c r="S7" s="100"/>
      <c r="T7" s="100"/>
      <c r="U7" s="100"/>
      <c r="V7" s="100"/>
      <c r="W7" s="100"/>
      <c r="X7" s="100"/>
      <c r="Y7" s="100"/>
      <c r="Z7" s="100"/>
    </row>
    <row r="8" spans="1:28" ht="4.5" customHeight="1" x14ac:dyDescent="0.35">
      <c r="A8" s="1">
        <v>3</v>
      </c>
    </row>
    <row r="9" spans="1:28" x14ac:dyDescent="0.35">
      <c r="A9" s="1">
        <v>4</v>
      </c>
      <c r="B9" s="28" t="s">
        <v>99</v>
      </c>
      <c r="C9" s="14">
        <f>+HLOOKUP($C$6,$H$6:$AD$18,A9,FALSE)</f>
        <v>1184.6837488154599</v>
      </c>
      <c r="D9" s="14">
        <f>+HLOOKUP($D$6,$H$6:$AD$18,A9,FALSE)</f>
        <v>1529.6106433047801</v>
      </c>
      <c r="E9" s="36">
        <f>D9/C9-1</f>
        <v>0.29115525120877628</v>
      </c>
      <c r="H9" s="5" t="s">
        <v>99</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c r="Z9" s="14">
        <f>1606.13921990478-Z28</f>
        <v>1529.6106433047801</v>
      </c>
    </row>
    <row r="10" spans="1:28" x14ac:dyDescent="0.35">
      <c r="A10" s="1">
        <v>5</v>
      </c>
      <c r="B10" s="28" t="s">
        <v>100</v>
      </c>
      <c r="C10" s="14">
        <f t="shared" ref="C10:C18" si="0">+HLOOKUP($C$6,$H$6:$AD$18,A10,FALSE)</f>
        <v>4692.081113313041</v>
      </c>
      <c r="D10" s="14">
        <f t="shared" ref="D10:D18" si="1">+HLOOKUP($D$6,$H$6:$AD$18,A10,FALSE)</f>
        <v>4202.1238247000001</v>
      </c>
      <c r="E10" s="36">
        <f>D10/C10-1</f>
        <v>-0.10442216934887683</v>
      </c>
      <c r="H10" s="28" t="s">
        <v>100</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c r="Z10" s="14">
        <f>4861.638-Z29</f>
        <v>4202.1238247000001</v>
      </c>
    </row>
    <row r="11" spans="1:28" ht="5.25" customHeight="1" x14ac:dyDescent="0.35">
      <c r="A11" s="1">
        <v>6</v>
      </c>
      <c r="C11" s="15">
        <f t="shared" si="0"/>
        <v>0</v>
      </c>
      <c r="D11" s="15">
        <f t="shared" si="1"/>
        <v>0</v>
      </c>
      <c r="E11" s="40"/>
      <c r="I11" s="15"/>
      <c r="J11" s="15"/>
      <c r="K11" s="40"/>
      <c r="L11" s="40"/>
      <c r="M11" s="40"/>
      <c r="N11" s="40"/>
      <c r="O11" s="40"/>
      <c r="P11" s="40"/>
      <c r="Q11" s="40"/>
      <c r="R11" s="40"/>
      <c r="S11" s="40"/>
      <c r="T11" s="40"/>
      <c r="U11" s="40"/>
      <c r="V11" s="40"/>
      <c r="W11" s="40"/>
      <c r="X11" s="40"/>
      <c r="Y11" s="40"/>
      <c r="Z11" s="40"/>
    </row>
    <row r="12" spans="1:28" x14ac:dyDescent="0.35">
      <c r="A12" s="1">
        <v>7</v>
      </c>
      <c r="B12" s="6" t="s">
        <v>101</v>
      </c>
      <c r="C12" s="9">
        <f t="shared" si="0"/>
        <v>5876.7648621285007</v>
      </c>
      <c r="D12" s="9">
        <f t="shared" si="1"/>
        <v>5731.73446800478</v>
      </c>
      <c r="E12" s="38">
        <f>D12/C12-1</f>
        <v>-2.4678611025997776E-2</v>
      </c>
      <c r="H12" s="6" t="s">
        <v>101</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Z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c r="Z12" s="9">
        <f t="shared" si="4"/>
        <v>5731.73446800478</v>
      </c>
      <c r="AB12" s="98"/>
    </row>
    <row r="13" spans="1:28" ht="5.25" customHeight="1" x14ac:dyDescent="0.35">
      <c r="A13" s="1">
        <v>8</v>
      </c>
    </row>
    <row r="14" spans="1:28" x14ac:dyDescent="0.35">
      <c r="A14" s="1">
        <v>9</v>
      </c>
      <c r="B14" s="5" t="s">
        <v>102</v>
      </c>
      <c r="C14" s="14">
        <f t="shared" si="0"/>
        <v>215.40118083056399</v>
      </c>
      <c r="D14" s="14">
        <f t="shared" si="1"/>
        <v>331.30202495999998</v>
      </c>
      <c r="E14" s="36">
        <f>D14/C14-1</f>
        <v>0.53806967855298971</v>
      </c>
      <c r="H14" s="5" t="s">
        <v>102</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c r="Z14" s="14">
        <f>427.219-Z33</f>
        <v>331.30202495999998</v>
      </c>
    </row>
    <row r="15" spans="1:28" x14ac:dyDescent="0.35">
      <c r="A15" s="1">
        <v>10</v>
      </c>
      <c r="B15" s="5" t="s">
        <v>103</v>
      </c>
      <c r="C15" s="14">
        <f t="shared" si="0"/>
        <v>2331.50730189361</v>
      </c>
      <c r="D15" s="14">
        <f t="shared" si="1"/>
        <v>2312.3760000000002</v>
      </c>
      <c r="E15" s="36">
        <f>D15/C15-1</f>
        <v>-8.2055509232468182E-3</v>
      </c>
      <c r="H15" s="5" t="s">
        <v>103</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c r="Z15" s="14">
        <f>2705.976-Z34</f>
        <v>2312.3760000000002</v>
      </c>
    </row>
    <row r="16" spans="1:28" x14ac:dyDescent="0.35">
      <c r="A16" s="1">
        <v>11</v>
      </c>
      <c r="B16" s="5" t="s">
        <v>104</v>
      </c>
      <c r="C16" s="14">
        <f t="shared" si="0"/>
        <v>3329.8676748499997</v>
      </c>
      <c r="D16" s="14">
        <f t="shared" si="1"/>
        <v>3088.0364921699997</v>
      </c>
      <c r="E16" s="36">
        <f t="shared" ref="E16" si="5">D16/C16-1</f>
        <v>-7.2624862695450432E-2</v>
      </c>
      <c r="H16" s="5" t="s">
        <v>104</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Z16" s="14">
        <f>3334.495-Z35</f>
        <v>3088.0364921699997</v>
      </c>
      <c r="AB16" s="91"/>
    </row>
    <row r="17" spans="1:26" ht="4.5" customHeight="1" x14ac:dyDescent="0.35">
      <c r="A17" s="1">
        <v>12</v>
      </c>
      <c r="C17" s="1">
        <f t="shared" si="0"/>
        <v>0</v>
      </c>
      <c r="D17" s="39">
        <f t="shared" si="1"/>
        <v>0</v>
      </c>
      <c r="E17" s="39"/>
    </row>
    <row r="18" spans="1:26" x14ac:dyDescent="0.35">
      <c r="A18" s="1">
        <v>13</v>
      </c>
      <c r="B18" s="6" t="s">
        <v>105</v>
      </c>
      <c r="C18" s="9">
        <f t="shared" si="0"/>
        <v>5876.7761575741733</v>
      </c>
      <c r="D18" s="9">
        <f t="shared" si="1"/>
        <v>5731.7145171299999</v>
      </c>
      <c r="E18" s="38">
        <f>D18/C18-1</f>
        <v>-2.468388050771908E-2</v>
      </c>
      <c r="H18" s="6" t="s">
        <v>105</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c r="Z18" s="9">
        <f>SUM(Z14:Z16)</f>
        <v>5731.7145171299999</v>
      </c>
    </row>
    <row r="23" spans="1:26" ht="23.4" x14ac:dyDescent="0.45">
      <c r="B23" s="12" t="s">
        <v>46</v>
      </c>
      <c r="C23" s="13"/>
      <c r="D23" s="13"/>
      <c r="E23" s="13"/>
      <c r="H23" s="12" t="s">
        <v>46</v>
      </c>
      <c r="I23" s="13"/>
      <c r="J23" s="13"/>
      <c r="K23" s="13"/>
      <c r="L23" s="13"/>
      <c r="M23" s="13"/>
      <c r="N23" s="13"/>
      <c r="O23" s="13"/>
      <c r="P23" s="13"/>
      <c r="Q23" s="13"/>
      <c r="R23" s="13"/>
      <c r="S23" s="13"/>
      <c r="T23" s="13"/>
      <c r="U23" s="13"/>
      <c r="V23" s="13"/>
      <c r="W23" s="13"/>
      <c r="X23" s="13"/>
      <c r="Y23" s="13"/>
      <c r="Z23" s="13"/>
    </row>
    <row r="24" spans="1:26" ht="7.5" customHeight="1" x14ac:dyDescent="0.35"/>
    <row r="25" spans="1:26" x14ac:dyDescent="0.35">
      <c r="A25" s="1">
        <v>1</v>
      </c>
      <c r="B25" s="3" t="s">
        <v>98</v>
      </c>
      <c r="C25" s="104" t="s">
        <v>141</v>
      </c>
      <c r="D25" s="104" t="s">
        <v>144</v>
      </c>
      <c r="E25" s="100" t="s">
        <v>4</v>
      </c>
      <c r="H25" s="3" t="s">
        <v>98</v>
      </c>
      <c r="I25" s="100" t="s">
        <v>18</v>
      </c>
      <c r="J25" s="100" t="s">
        <v>19</v>
      </c>
      <c r="K25" s="100" t="s">
        <v>20</v>
      </c>
      <c r="L25" s="100" t="s">
        <v>21</v>
      </c>
      <c r="M25" s="100" t="s">
        <v>22</v>
      </c>
      <c r="N25" s="100" t="s">
        <v>23</v>
      </c>
      <c r="O25" s="100" t="s">
        <v>24</v>
      </c>
      <c r="P25" s="100" t="s">
        <v>2</v>
      </c>
      <c r="Q25" s="100" t="s">
        <v>25</v>
      </c>
      <c r="R25" s="100" t="s">
        <v>26</v>
      </c>
      <c r="S25" s="100" t="s">
        <v>27</v>
      </c>
      <c r="T25" s="100" t="s">
        <v>3</v>
      </c>
      <c r="U25" s="100" t="s">
        <v>128</v>
      </c>
      <c r="V25" s="100" t="s">
        <v>130</v>
      </c>
      <c r="W25" s="100" t="s">
        <v>139</v>
      </c>
      <c r="X25" s="100" t="s">
        <v>141</v>
      </c>
      <c r="Y25" s="100" t="s">
        <v>143</v>
      </c>
      <c r="Z25" s="100" t="s">
        <v>144</v>
      </c>
    </row>
    <row r="26" spans="1:26" x14ac:dyDescent="0.35">
      <c r="A26" s="1">
        <v>2</v>
      </c>
      <c r="B26" s="3" t="s">
        <v>52</v>
      </c>
      <c r="C26" s="104"/>
      <c r="D26" s="104"/>
      <c r="E26" s="100"/>
      <c r="H26" s="3" t="s">
        <v>52</v>
      </c>
      <c r="I26" s="100"/>
      <c r="J26" s="100"/>
      <c r="K26" s="100"/>
      <c r="L26" s="100"/>
      <c r="M26" s="100"/>
      <c r="N26" s="100"/>
      <c r="O26" s="100"/>
      <c r="P26" s="100"/>
      <c r="Q26" s="100"/>
      <c r="R26" s="100"/>
      <c r="S26" s="100"/>
      <c r="T26" s="100"/>
      <c r="U26" s="100"/>
      <c r="V26" s="100"/>
      <c r="W26" s="100"/>
      <c r="X26" s="100"/>
      <c r="Y26" s="100"/>
      <c r="Z26" s="100"/>
    </row>
    <row r="27" spans="1:26" ht="4.5" customHeight="1" x14ac:dyDescent="0.35">
      <c r="A27" s="1">
        <v>3</v>
      </c>
    </row>
    <row r="28" spans="1:26" x14ac:dyDescent="0.35">
      <c r="A28" s="1">
        <v>4</v>
      </c>
      <c r="B28" s="5" t="s">
        <v>99</v>
      </c>
      <c r="C28" s="7">
        <f t="shared" ref="C28:C35" si="10">+HLOOKUP($C$25,$H$25:$Y$37,A28,FALSE)</f>
        <v>74.501601039999997</v>
      </c>
      <c r="D28" s="7">
        <f>+HLOOKUP($D$25,$H$25:$BA$37,A28,FALSE)</f>
        <v>76.528576600000008</v>
      </c>
      <c r="E28" s="36">
        <f>D28/C28-1</f>
        <v>2.72071409433432E-2</v>
      </c>
      <c r="H28" s="5" t="s">
        <v>99</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c r="Z28" s="14">
        <v>76.528576600000008</v>
      </c>
    </row>
    <row r="29" spans="1:26" x14ac:dyDescent="0.35">
      <c r="A29" s="1">
        <v>5</v>
      </c>
      <c r="B29" s="5" t="s">
        <v>100</v>
      </c>
      <c r="C29" s="7">
        <f t="shared" si="10"/>
        <v>682.61372834999975</v>
      </c>
      <c r="D29" s="7">
        <f>+HLOOKUP($D$25,$H$25:$BC$37,A29,FALSE)</f>
        <v>659.51417529999992</v>
      </c>
      <c r="E29" s="36">
        <f>D29/C29-1</f>
        <v>-3.3839860071135153E-2</v>
      </c>
      <c r="H29" s="5" t="s">
        <v>100</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c r="Z29" s="14">
        <v>659.51417529999992</v>
      </c>
    </row>
    <row r="30" spans="1:26" ht="4.5" customHeight="1" x14ac:dyDescent="0.35">
      <c r="A30" s="1">
        <v>6</v>
      </c>
      <c r="C30" s="1">
        <f t="shared" si="10"/>
        <v>0</v>
      </c>
      <c r="E30" s="39"/>
    </row>
    <row r="31" spans="1:26" x14ac:dyDescent="0.35">
      <c r="A31" s="1">
        <v>7</v>
      </c>
      <c r="B31" s="6" t="s">
        <v>101</v>
      </c>
      <c r="C31" s="9">
        <f t="shared" si="10"/>
        <v>757.11532938999972</v>
      </c>
      <c r="D31" s="9">
        <f>+HLOOKUP($D$25,$H$25:$AO$37,A31,FALSE)</f>
        <v>736.04275189999998</v>
      </c>
      <c r="E31" s="38">
        <f>D31/C31-1</f>
        <v>-2.7832718044393134E-2</v>
      </c>
      <c r="H31" s="6" t="s">
        <v>101</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Z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c r="Z31" s="9">
        <f t="shared" si="14"/>
        <v>736.04275189999998</v>
      </c>
    </row>
    <row r="32" spans="1:26" ht="4.5" customHeight="1" x14ac:dyDescent="0.35">
      <c r="A32" s="1">
        <v>8</v>
      </c>
      <c r="C32" s="1">
        <f t="shared" si="10"/>
        <v>0</v>
      </c>
      <c r="E32" s="39"/>
    </row>
    <row r="33" spans="1:26" x14ac:dyDescent="0.35">
      <c r="A33" s="1">
        <v>9</v>
      </c>
      <c r="B33" s="5" t="s">
        <v>102</v>
      </c>
      <c r="C33" s="7">
        <f t="shared" si="10"/>
        <v>91.141456650000023</v>
      </c>
      <c r="D33" s="7">
        <f>+HLOOKUP($D$25,$H$25:$AM$36,A33,FALSE)</f>
        <v>95.916975039999997</v>
      </c>
      <c r="E33" s="36">
        <f>D33/C33-1</f>
        <v>5.2396774920318023E-2</v>
      </c>
      <c r="H33" s="5" t="s">
        <v>102</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c r="Z33" s="14">
        <v>95.916975039999997</v>
      </c>
    </row>
    <row r="34" spans="1:26" x14ac:dyDescent="0.35">
      <c r="A34" s="1">
        <v>10</v>
      </c>
      <c r="B34" s="5" t="s">
        <v>106</v>
      </c>
      <c r="C34" s="7">
        <f t="shared" si="10"/>
        <v>410.47415591999999</v>
      </c>
      <c r="D34" s="7">
        <f>+HLOOKUP($D$25,$H$25:$AL$37,A34,FALSE)</f>
        <v>393.59999999999997</v>
      </c>
      <c r="E34" s="36">
        <f t="shared" ref="E34:E35" si="15">D34/C34-1</f>
        <v>-4.1108936279264152E-2</v>
      </c>
      <c r="H34" s="5" t="s">
        <v>106</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c r="Z34" s="14">
        <v>393.59999999999997</v>
      </c>
    </row>
    <row r="35" spans="1:26" x14ac:dyDescent="0.35">
      <c r="A35" s="1">
        <v>11</v>
      </c>
      <c r="B35" s="5" t="s">
        <v>107</v>
      </c>
      <c r="C35" s="7">
        <f t="shared" si="10"/>
        <v>255.49979457000001</v>
      </c>
      <c r="D35" s="7">
        <f>+HLOOKUP($D$25,$H$25:$AT$37,A35,FALSE)</f>
        <v>246.45850783000003</v>
      </c>
      <c r="E35" s="36">
        <f t="shared" si="15"/>
        <v>-3.5386669313046792E-2</v>
      </c>
      <c r="H35" s="5" t="s">
        <v>107</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c r="Z35" s="14">
        <v>246.45850783000003</v>
      </c>
    </row>
    <row r="36" spans="1:26" ht="4.5" customHeight="1" x14ac:dyDescent="0.35">
      <c r="A36" s="1">
        <v>12</v>
      </c>
      <c r="E36" s="39"/>
    </row>
    <row r="37" spans="1:26" x14ac:dyDescent="0.35">
      <c r="A37" s="1">
        <v>13</v>
      </c>
      <c r="B37" s="6" t="s">
        <v>105</v>
      </c>
      <c r="C37" s="9">
        <f>+HLOOKUP($C$25,$H$25:$Y$37,A37,FALSE)</f>
        <v>757.11540714</v>
      </c>
      <c r="D37" s="9">
        <f>+HLOOKUP($D$25,$H$25:$AJ$37,A37,FALSE)</f>
        <v>735.97548286999995</v>
      </c>
      <c r="E37" s="38">
        <f>D37/C37-1</f>
        <v>-2.7921666988466209E-2</v>
      </c>
      <c r="H37" s="6" t="s">
        <v>105</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c r="Z37" s="9">
        <f>SUM(Z33:Z35)</f>
        <v>735.97548286999995</v>
      </c>
    </row>
    <row r="40" spans="1:26" x14ac:dyDescent="0.35">
      <c r="P40" s="54"/>
      <c r="T40" s="54"/>
      <c r="U40" s="54"/>
      <c r="V40" s="54"/>
      <c r="W40" s="54"/>
      <c r="X40" s="54"/>
      <c r="Y40" s="54"/>
      <c r="Z40" s="54"/>
    </row>
    <row r="41" spans="1:26" x14ac:dyDescent="0.35">
      <c r="P41" s="54"/>
      <c r="T41" s="54"/>
      <c r="U41" s="54"/>
      <c r="V41" s="54"/>
      <c r="W41" s="54"/>
      <c r="X41" s="54"/>
      <c r="Y41" s="54"/>
      <c r="Z41" s="54"/>
    </row>
    <row r="42" spans="1:26" x14ac:dyDescent="0.35">
      <c r="P42" s="54"/>
      <c r="T42" s="54"/>
      <c r="U42" s="54"/>
      <c r="V42" s="54"/>
      <c r="W42" s="54"/>
      <c r="X42" s="54"/>
      <c r="Y42" s="54"/>
      <c r="Z42" s="54"/>
    </row>
    <row r="43" spans="1:26" x14ac:dyDescent="0.35">
      <c r="P43" s="54"/>
      <c r="T43" s="54"/>
      <c r="U43" s="54"/>
      <c r="V43" s="54"/>
      <c r="W43" s="54"/>
      <c r="X43" s="54"/>
      <c r="Y43" s="54"/>
      <c r="Z43" s="54"/>
    </row>
    <row r="44" spans="1:26" x14ac:dyDescent="0.35">
      <c r="P44" s="54"/>
      <c r="T44" s="54"/>
      <c r="U44" s="54"/>
      <c r="V44" s="54"/>
      <c r="W44" s="54"/>
      <c r="X44" s="54"/>
      <c r="Y44" s="54"/>
      <c r="Z44" s="54"/>
    </row>
    <row r="45" spans="1:26" x14ac:dyDescent="0.35">
      <c r="P45" s="54"/>
      <c r="T45" s="54"/>
      <c r="U45" s="54"/>
      <c r="V45" s="54"/>
      <c r="W45" s="54"/>
      <c r="X45" s="54"/>
      <c r="Y45" s="54"/>
      <c r="Z45" s="54"/>
    </row>
    <row r="46" spans="1:26" x14ac:dyDescent="0.35">
      <c r="P46" s="54"/>
      <c r="T46" s="54"/>
      <c r="U46" s="54"/>
      <c r="V46" s="54"/>
      <c r="W46" s="54"/>
      <c r="X46" s="54"/>
      <c r="Y46" s="54"/>
      <c r="Z46" s="54"/>
    </row>
    <row r="47" spans="1:26" x14ac:dyDescent="0.35">
      <c r="P47" s="54"/>
      <c r="T47" s="54"/>
      <c r="U47" s="54"/>
      <c r="V47" s="54"/>
      <c r="W47" s="54"/>
      <c r="X47" s="54"/>
      <c r="Y47" s="54"/>
      <c r="Z47" s="54"/>
    </row>
    <row r="48" spans="1:26" x14ac:dyDescent="0.35">
      <c r="P48" s="54"/>
      <c r="T48" s="54"/>
      <c r="U48" s="54"/>
      <c r="V48" s="54"/>
      <c r="W48" s="54"/>
      <c r="X48" s="54"/>
      <c r="Y48" s="54"/>
      <c r="Z48" s="54"/>
    </row>
    <row r="49" spans="16:26" x14ac:dyDescent="0.35">
      <c r="P49" s="54"/>
      <c r="T49" s="54"/>
      <c r="U49" s="54"/>
      <c r="V49" s="54"/>
      <c r="W49" s="54"/>
      <c r="X49" s="54"/>
      <c r="Y49" s="54"/>
      <c r="Z49" s="54"/>
    </row>
  </sheetData>
  <mergeCells count="42">
    <mergeCell ref="Z6:Z7"/>
    <mergeCell ref="Z25:Z26"/>
    <mergeCell ref="Y6:Y7"/>
    <mergeCell ref="Y25:Y26"/>
    <mergeCell ref="L6:L7"/>
    <mergeCell ref="L25:L26"/>
    <mergeCell ref="M6:M7"/>
    <mergeCell ref="M25:M26"/>
    <mergeCell ref="Q6:Q7"/>
    <mergeCell ref="Q25:Q26"/>
    <mergeCell ref="O6:O7"/>
    <mergeCell ref="S25:S26"/>
    <mergeCell ref="R6:R7"/>
    <mergeCell ref="R25:R26"/>
    <mergeCell ref="P6:P7"/>
    <mergeCell ref="X6:X7"/>
    <mergeCell ref="X25:X26"/>
    <mergeCell ref="W25:W26"/>
    <mergeCell ref="W6:W7"/>
    <mergeCell ref="C25:C26"/>
    <mergeCell ref="D25:D26"/>
    <mergeCell ref="E25:E26"/>
    <mergeCell ref="U6:U7"/>
    <mergeCell ref="U25:U26"/>
    <mergeCell ref="P25:P26"/>
    <mergeCell ref="O25:O26"/>
    <mergeCell ref="N6:N7"/>
    <mergeCell ref="N25:N26"/>
    <mergeCell ref="T25:T26"/>
    <mergeCell ref="T6:T7"/>
    <mergeCell ref="S6:S7"/>
    <mergeCell ref="I25:I26"/>
    <mergeCell ref="J25:J26"/>
    <mergeCell ref="K25:K26"/>
    <mergeCell ref="V6:V7"/>
    <mergeCell ref="V25:V26"/>
    <mergeCell ref="C6:C7"/>
    <mergeCell ref="D6:D7"/>
    <mergeCell ref="E6:E7"/>
    <mergeCell ref="I6:I7"/>
    <mergeCell ref="J6:J7"/>
    <mergeCell ref="K6:K7"/>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N31"/>
  <sheetViews>
    <sheetView tabSelected="1" topLeftCell="A4" zoomScaleNormal="100" workbookViewId="0">
      <selection activeCell="C11" sqref="C11"/>
    </sheetView>
  </sheetViews>
  <sheetFormatPr baseColWidth="10" defaultColWidth="11.44140625" defaultRowHeight="14.4" x14ac:dyDescent="0.35"/>
  <cols>
    <col min="1" max="1" width="30.33203125" style="1" customWidth="1"/>
    <col min="2" max="6" width="11.44140625" style="1"/>
    <col min="7" max="7" width="32.88671875" style="1" customWidth="1"/>
    <col min="8" max="35" width="11.44140625" style="1" customWidth="1"/>
    <col min="36" max="16384" width="11.44140625" style="1"/>
  </cols>
  <sheetData>
    <row r="4" spans="1:40" ht="23.4" x14ac:dyDescent="0.4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row>
    <row r="5" spans="1:40" x14ac:dyDescent="0.35">
      <c r="F5" s="71"/>
    </row>
    <row r="6" spans="1:40" x14ac:dyDescent="0.35">
      <c r="A6" s="3" t="s">
        <v>108</v>
      </c>
      <c r="B6" s="100" t="s">
        <v>141</v>
      </c>
      <c r="C6" s="104" t="s">
        <v>144</v>
      </c>
      <c r="D6" s="100" t="s">
        <v>4</v>
      </c>
      <c r="F6" s="71">
        <v>1</v>
      </c>
      <c r="G6" s="3" t="s">
        <v>108</v>
      </c>
      <c r="H6" s="100" t="s">
        <v>6</v>
      </c>
      <c r="I6" s="100" t="s">
        <v>7</v>
      </c>
      <c r="J6" s="100" t="s">
        <v>8</v>
      </c>
      <c r="K6" s="100" t="s">
        <v>9</v>
      </c>
      <c r="L6" s="100" t="s">
        <v>10</v>
      </c>
      <c r="M6" s="100" t="s">
        <v>11</v>
      </c>
      <c r="N6" s="100" t="s">
        <v>12</v>
      </c>
      <c r="O6" s="100" t="s">
        <v>13</v>
      </c>
      <c r="P6" s="100" t="s">
        <v>14</v>
      </c>
      <c r="Q6" s="100" t="s">
        <v>15</v>
      </c>
      <c r="R6" s="100" t="s">
        <v>16</v>
      </c>
      <c r="S6" s="100" t="s">
        <v>17</v>
      </c>
      <c r="T6" s="100" t="s">
        <v>18</v>
      </c>
      <c r="U6" s="100" t="s">
        <v>19</v>
      </c>
      <c r="V6" s="100" t="s">
        <v>20</v>
      </c>
      <c r="W6" s="100" t="s">
        <v>21</v>
      </c>
      <c r="X6" s="100" t="s">
        <v>22</v>
      </c>
      <c r="Y6" s="100" t="s">
        <v>23</v>
      </c>
      <c r="Z6" s="100" t="s">
        <v>24</v>
      </c>
      <c r="AA6" s="100" t="s">
        <v>2</v>
      </c>
      <c r="AB6" s="100" t="s">
        <v>25</v>
      </c>
      <c r="AC6" s="100" t="s">
        <v>26</v>
      </c>
      <c r="AD6" s="100" t="s">
        <v>27</v>
      </c>
      <c r="AE6" s="100" t="s">
        <v>3</v>
      </c>
      <c r="AF6" s="100" t="s">
        <v>128</v>
      </c>
      <c r="AG6" s="100" t="s">
        <v>130</v>
      </c>
      <c r="AH6" s="100" t="s">
        <v>139</v>
      </c>
      <c r="AI6" s="100" t="s">
        <v>141</v>
      </c>
      <c r="AJ6" s="100" t="s">
        <v>143</v>
      </c>
      <c r="AK6" s="100" t="s">
        <v>144</v>
      </c>
    </row>
    <row r="7" spans="1:40" x14ac:dyDescent="0.35">
      <c r="A7" s="3" t="s">
        <v>52</v>
      </c>
      <c r="B7" s="100"/>
      <c r="C7" s="104"/>
      <c r="D7" s="100"/>
      <c r="F7" s="71">
        <v>2</v>
      </c>
      <c r="G7" s="3" t="s">
        <v>52</v>
      </c>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row>
    <row r="8" spans="1:40" x14ac:dyDescent="0.35">
      <c r="F8" s="71">
        <v>3</v>
      </c>
    </row>
    <row r="9" spans="1:40" x14ac:dyDescent="0.35">
      <c r="A9" s="5" t="s">
        <v>109</v>
      </c>
      <c r="B9" s="8">
        <f>+HLOOKUP($B$6,$G$6:$AO$13,F9,FALSE)</f>
        <v>1336.7224258783999</v>
      </c>
      <c r="C9" s="8">
        <f>+HLOOKUP($C$6,$G$6:$AO$13,F9,FALSE)</f>
        <v>1320.7565026112502</v>
      </c>
      <c r="D9" s="46">
        <f>C9/B9-1</f>
        <v>-1.1944082749010487E-2</v>
      </c>
      <c r="F9" s="71">
        <v>4</v>
      </c>
      <c r="G9" s="5" t="s">
        <v>110</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48"/>
      <c r="AM9" s="54"/>
    </row>
    <row r="10" spans="1:40" x14ac:dyDescent="0.35">
      <c r="A10" s="5" t="s">
        <v>111</v>
      </c>
      <c r="B10" s="8">
        <f t="shared" ref="B10:B13" si="0">+HLOOKUP($B$6,$G$6:$AO$13,F10,FALSE)</f>
        <v>938.55964359000006</v>
      </c>
      <c r="C10" s="8">
        <f t="shared" ref="C10:C13" si="1">+HLOOKUP($C$6,$G$6:$AO$13,F10,FALSE)</f>
        <v>756.893476639543</v>
      </c>
      <c r="D10" s="46">
        <f t="shared" ref="D10:D13" si="2">C10/B10-1</f>
        <v>-0.19355846822433376</v>
      </c>
      <c r="F10" s="71">
        <v>5</v>
      </c>
      <c r="G10" s="5" t="s">
        <v>111</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M10" s="54"/>
    </row>
    <row r="11" spans="1:40" x14ac:dyDescent="0.35">
      <c r="A11" s="5" t="s">
        <v>112</v>
      </c>
      <c r="B11" s="8">
        <f t="shared" si="0"/>
        <v>398.16278228839985</v>
      </c>
      <c r="C11" s="90">
        <f t="shared" si="1"/>
        <v>563.86302597170197</v>
      </c>
      <c r="D11" s="46">
        <f t="shared" si="2"/>
        <v>0.41616205997696953</v>
      </c>
      <c r="F11" s="71">
        <v>6</v>
      </c>
      <c r="G11" s="5" t="s">
        <v>112</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c r="AK11" s="8">
        <f>975.657967441702-AK25</f>
        <v>563.86302597170197</v>
      </c>
    </row>
    <row r="12" spans="1:40" x14ac:dyDescent="0.35">
      <c r="A12" s="5" t="s">
        <v>113</v>
      </c>
      <c r="B12" s="8">
        <f t="shared" si="0"/>
        <v>617.42694116786799</v>
      </c>
      <c r="C12" s="8">
        <f t="shared" si="1"/>
        <v>575.70420253003601</v>
      </c>
      <c r="D12" s="46">
        <f t="shared" si="2"/>
        <v>-6.7575183160801355E-2</v>
      </c>
      <c r="F12" s="71">
        <v>7</v>
      </c>
      <c r="G12" s="5" t="s">
        <v>113</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row>
    <row r="13" spans="1:40" x14ac:dyDescent="0.35">
      <c r="A13" s="5" t="s">
        <v>114</v>
      </c>
      <c r="B13" s="8">
        <f t="shared" si="0"/>
        <v>0.64487432559271185</v>
      </c>
      <c r="C13" s="8">
        <f t="shared" si="1"/>
        <v>0.97943183929126132</v>
      </c>
      <c r="D13" s="46">
        <f t="shared" si="2"/>
        <v>0.51879490378385529</v>
      </c>
      <c r="F13" s="71">
        <v>8</v>
      </c>
      <c r="G13" s="5" t="s">
        <v>114</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N13" s="54"/>
    </row>
    <row r="14" spans="1:40" x14ac:dyDescent="0.35">
      <c r="F14" s="71"/>
      <c r="U14" s="33"/>
      <c r="V14" s="33"/>
      <c r="W14" s="33"/>
      <c r="X14" s="33"/>
      <c r="Y14" s="33"/>
      <c r="Z14" s="33"/>
      <c r="AA14" s="33"/>
      <c r="AB14" s="33"/>
      <c r="AC14" s="33"/>
      <c r="AD14" s="33"/>
      <c r="AE14" s="33"/>
      <c r="AF14" s="33"/>
      <c r="AG14" s="33"/>
      <c r="AH14" s="33"/>
      <c r="AI14" s="33"/>
      <c r="AJ14" s="33"/>
      <c r="AK14" s="33"/>
    </row>
    <row r="15" spans="1:40" x14ac:dyDescent="0.35">
      <c r="F15" s="71"/>
    </row>
    <row r="16" spans="1:40" x14ac:dyDescent="0.35">
      <c r="F16" s="71"/>
    </row>
    <row r="17" spans="1:38" x14ac:dyDescent="0.35">
      <c r="F17" s="71"/>
    </row>
    <row r="18" spans="1:38" ht="23.4" x14ac:dyDescent="0.45">
      <c r="A18" s="12" t="s">
        <v>46</v>
      </c>
      <c r="B18" s="13"/>
      <c r="C18" s="13"/>
      <c r="D18" s="13"/>
      <c r="F18" s="71"/>
      <c r="G18" s="12" t="s">
        <v>46</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row>
    <row r="19" spans="1:38" x14ac:dyDescent="0.35">
      <c r="F19" s="71"/>
    </row>
    <row r="20" spans="1:38" x14ac:dyDescent="0.35">
      <c r="A20" s="3" t="s">
        <v>108</v>
      </c>
      <c r="B20" s="100" t="s">
        <v>141</v>
      </c>
      <c r="C20" s="104" t="s">
        <v>144</v>
      </c>
      <c r="D20" s="100" t="s">
        <v>4</v>
      </c>
      <c r="F20" s="71">
        <v>1</v>
      </c>
      <c r="G20" s="3" t="s">
        <v>108</v>
      </c>
      <c r="H20" s="100" t="s">
        <v>6</v>
      </c>
      <c r="I20" s="100" t="s">
        <v>7</v>
      </c>
      <c r="J20" s="100" t="s">
        <v>8</v>
      </c>
      <c r="K20" s="100" t="s">
        <v>9</v>
      </c>
      <c r="L20" s="100" t="s">
        <v>10</v>
      </c>
      <c r="M20" s="100" t="s">
        <v>11</v>
      </c>
      <c r="N20" s="100" t="s">
        <v>12</v>
      </c>
      <c r="O20" s="100" t="s">
        <v>13</v>
      </c>
      <c r="P20" s="100" t="s">
        <v>14</v>
      </c>
      <c r="Q20" s="100" t="s">
        <v>15</v>
      </c>
      <c r="R20" s="100" t="s">
        <v>16</v>
      </c>
      <c r="S20" s="100" t="s">
        <v>17</v>
      </c>
      <c r="T20" s="100" t="s">
        <v>18</v>
      </c>
      <c r="U20" s="100" t="s">
        <v>19</v>
      </c>
      <c r="V20" s="100" t="s">
        <v>20</v>
      </c>
      <c r="W20" s="100" t="s">
        <v>21</v>
      </c>
      <c r="X20" s="100" t="s">
        <v>22</v>
      </c>
      <c r="Y20" s="100" t="s">
        <v>23</v>
      </c>
      <c r="Z20" s="100" t="s">
        <v>24</v>
      </c>
      <c r="AA20" s="100" t="s">
        <v>2</v>
      </c>
      <c r="AB20" s="100" t="s">
        <v>25</v>
      </c>
      <c r="AC20" s="100" t="s">
        <v>26</v>
      </c>
      <c r="AD20" s="100" t="s">
        <v>27</v>
      </c>
      <c r="AE20" s="100" t="s">
        <v>3</v>
      </c>
      <c r="AF20" s="100" t="s">
        <v>128</v>
      </c>
      <c r="AG20" s="100" t="s">
        <v>130</v>
      </c>
      <c r="AH20" s="100" t="s">
        <v>139</v>
      </c>
      <c r="AI20" s="100" t="s">
        <v>141</v>
      </c>
      <c r="AJ20" s="100" t="s">
        <v>143</v>
      </c>
      <c r="AK20" s="100" t="s">
        <v>144</v>
      </c>
      <c r="AL20" s="54"/>
    </row>
    <row r="21" spans="1:38" x14ac:dyDescent="0.35">
      <c r="A21" s="3" t="s">
        <v>52</v>
      </c>
      <c r="B21" s="100"/>
      <c r="C21" s="104"/>
      <c r="D21" s="100"/>
      <c r="F21" s="71">
        <v>2</v>
      </c>
      <c r="G21" s="3" t="s">
        <v>52</v>
      </c>
      <c r="H21" s="100"/>
      <c r="I21" s="100"/>
      <c r="J21" s="100"/>
      <c r="K21" s="100"/>
      <c r="L21" s="100"/>
      <c r="M21" s="100"/>
      <c r="N21" s="100"/>
      <c r="O21" s="100"/>
      <c r="P21" s="100"/>
      <c r="Q21" s="100"/>
      <c r="R21" s="100"/>
      <c r="S21" s="100"/>
      <c r="T21" s="100"/>
      <c r="U21" s="100"/>
      <c r="V21" s="100"/>
      <c r="W21" s="100"/>
      <c r="X21" s="100"/>
      <c r="Y21" s="100"/>
      <c r="Z21" s="100"/>
      <c r="AA21" s="100"/>
      <c r="AB21" s="100"/>
      <c r="AC21" s="100"/>
      <c r="AD21" s="100"/>
      <c r="AE21" s="100"/>
      <c r="AF21" s="100"/>
      <c r="AG21" s="100"/>
      <c r="AH21" s="100"/>
      <c r="AI21" s="100"/>
      <c r="AJ21" s="100"/>
      <c r="AK21" s="100"/>
    </row>
    <row r="22" spans="1:38" x14ac:dyDescent="0.35">
      <c r="F22" s="71">
        <v>3</v>
      </c>
    </row>
    <row r="23" spans="1:38" x14ac:dyDescent="0.35">
      <c r="A23" s="5" t="s">
        <v>109</v>
      </c>
      <c r="B23" s="8">
        <f>+HLOOKUP($B$20,$G$20:$AO$27,F23,FALSE)</f>
        <v>459.55068038999997</v>
      </c>
      <c r="C23" s="8">
        <f>+HLOOKUP($C$20,$G$20:$AN$27,F23,FALSE)</f>
        <v>444.9</v>
      </c>
      <c r="D23" s="46">
        <f>C23/B23-1</f>
        <v>-3.1880445433279836E-2</v>
      </c>
      <c r="F23" s="71">
        <v>4</v>
      </c>
      <c r="G23" s="5" t="s">
        <v>110</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+'[2]Carp Dir'!$I$4+'[2]Carp Dir'!$I$12</f>
        <v>459.55068038999997</v>
      </c>
      <c r="AJ23" s="8">
        <v>443.4</v>
      </c>
      <c r="AK23" s="8">
        <v>444.9</v>
      </c>
      <c r="AL23" s="54"/>
    </row>
    <row r="24" spans="1:38" x14ac:dyDescent="0.35">
      <c r="A24" s="5" t="s">
        <v>111</v>
      </c>
      <c r="B24" s="8">
        <f t="shared" ref="B24:B27" si="17">+HLOOKUP($B$20,$G$20:$AO$27,F24,FALSE)</f>
        <v>28.840882880000002</v>
      </c>
      <c r="C24" s="8">
        <f t="shared" ref="C24:C27" si="18">+HLOOKUP($C$20,$G$20:$AN$27,F24,FALSE)</f>
        <v>33.105058530000001</v>
      </c>
      <c r="D24" s="46">
        <f t="shared" ref="D24:D27" si="19">C24/B24-1</f>
        <v>0.14785177235184555</v>
      </c>
      <c r="F24" s="71">
        <v>5</v>
      </c>
      <c r="G24" s="5" t="s">
        <v>111</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+'[2]Carp Dir'!$D$4</f>
        <v>28.840882880000002</v>
      </c>
      <c r="AJ24" s="8">
        <v>21.843691669999998</v>
      </c>
      <c r="AK24" s="8">
        <v>33.105058530000001</v>
      </c>
      <c r="AL24" s="89"/>
    </row>
    <row r="25" spans="1:38" x14ac:dyDescent="0.35">
      <c r="A25" s="5" t="s">
        <v>112</v>
      </c>
      <c r="B25" s="8">
        <f t="shared" si="17"/>
        <v>430.70979750999999</v>
      </c>
      <c r="C25" s="90">
        <f t="shared" si="18"/>
        <v>411.79494146999997</v>
      </c>
      <c r="D25" s="46">
        <f t="shared" si="19"/>
        <v>-4.3915546266534267E-2</v>
      </c>
      <c r="F25" s="71">
        <v>6</v>
      </c>
      <c r="G25" s="5" t="s">
        <v>112</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8">
        <f>+AJ23-AJ24</f>
        <v>421.55630832999998</v>
      </c>
      <c r="AK25" s="8">
        <f>+AK23-AK24</f>
        <v>411.79494146999997</v>
      </c>
      <c r="AL25" s="89"/>
    </row>
    <row r="26" spans="1:38" x14ac:dyDescent="0.35">
      <c r="A26" s="5" t="s">
        <v>113</v>
      </c>
      <c r="B26" s="8">
        <f t="shared" si="17"/>
        <v>65.112546980000005</v>
      </c>
      <c r="C26" s="8">
        <f t="shared" si="18"/>
        <v>63.318479580000002</v>
      </c>
      <c r="D26" s="46">
        <f t="shared" si="19"/>
        <v>-2.755332855511039E-2</v>
      </c>
      <c r="F26" s="71">
        <v>7</v>
      </c>
      <c r="G26" s="5" t="s">
        <v>113</v>
      </c>
      <c r="H26" s="34"/>
      <c r="I26" s="34"/>
      <c r="J26" s="34"/>
      <c r="K26" s="34"/>
      <c r="L26" s="34"/>
      <c r="M26" s="34"/>
      <c r="N26" s="34"/>
      <c r="O26" s="34"/>
      <c r="P26" s="8">
        <v>52.496359250000012</v>
      </c>
      <c r="Q26" s="8">
        <v>43.236194240000017</v>
      </c>
      <c r="R26" s="8">
        <v>46.363594150000011</v>
      </c>
      <c r="S26" s="8">
        <f>SUM('Operating Income'!Q85:T85)</f>
        <v>56.038916260000008</v>
      </c>
      <c r="T26" s="8">
        <f>SUM('Operating Income'!R85:U85)</f>
        <v>50.73002218000002</v>
      </c>
      <c r="U26" s="8">
        <f>SUM('Operating Income'!S85:V85)</f>
        <v>52.520309130000015</v>
      </c>
      <c r="V26" s="8">
        <f>SUM('Operating Income'!T85:W85)</f>
        <v>49.897649080000001</v>
      </c>
      <c r="W26" s="8">
        <f>SUM('Operating Income'!U85:X85)</f>
        <v>53.585730650000002</v>
      </c>
      <c r="X26" s="8">
        <f>SUM('Operating Income'!V85:Y85)</f>
        <v>52.09403240999999</v>
      </c>
      <c r="Y26" s="8">
        <f>SUM('Operating Income'!W85:Z85)</f>
        <v>53.503672749999993</v>
      </c>
      <c r="Z26" s="8">
        <f>SUM('Operating Income'!X85:AA85)</f>
        <v>47.392068980000005</v>
      </c>
      <c r="AA26" s="8">
        <v>35.739567069999993</v>
      </c>
      <c r="AB26" s="8">
        <f>+SUM('Operating Income'!Z85:AC85)</f>
        <v>42.880847799999998</v>
      </c>
      <c r="AC26" s="8">
        <f>+SUM('Operating Income'!AA85:AD85)</f>
        <v>49.031741759999996</v>
      </c>
      <c r="AD26" s="8">
        <f>+SUM('Operating Income'!AB85:AE85)</f>
        <v>57.662942970000003</v>
      </c>
      <c r="AE26" s="8">
        <f>SUM('Operating Income'!AC85:AF85)</f>
        <v>69.930086569999986</v>
      </c>
      <c r="AF26" s="8">
        <v>76.863636579999991</v>
      </c>
      <c r="AG26" s="8">
        <f>+SUM('Operating Income'!AE85:AH85)</f>
        <v>68.089283949999995</v>
      </c>
      <c r="AH26" s="8">
        <f>+SUM('Operating Income'!AF85:AI85)</f>
        <v>67.756404210000014</v>
      </c>
      <c r="AI26" s="8">
        <v>65.112546980000005</v>
      </c>
      <c r="AJ26" s="8">
        <v>62.386580030000005</v>
      </c>
      <c r="AK26" s="8">
        <f>+SUM('Operating Income'!AI84:AL85)</f>
        <v>63.318479580000002</v>
      </c>
    </row>
    <row r="27" spans="1:38" x14ac:dyDescent="0.35">
      <c r="A27" s="5" t="s">
        <v>114</v>
      </c>
      <c r="B27" s="8">
        <f t="shared" si="17"/>
        <v>6.6148510154624569</v>
      </c>
      <c r="C27" s="8">
        <f t="shared" si="18"/>
        <v>6.503550688542922</v>
      </c>
      <c r="D27" s="46">
        <f t="shared" si="19"/>
        <v>-1.6825825201409073E-2</v>
      </c>
      <c r="F27" s="71">
        <v>8</v>
      </c>
      <c r="G27" s="5" t="s">
        <v>114</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+AI25/AI26</f>
        <v>6.6148510154624569</v>
      </c>
      <c r="AJ27" s="8">
        <f>+AJ25/AJ26</f>
        <v>6.7571632894011024</v>
      </c>
      <c r="AK27" s="8">
        <f>+AK25/AK26</f>
        <v>6.503550688542922</v>
      </c>
    </row>
    <row r="29" spans="1:38" x14ac:dyDescent="0.35">
      <c r="G29" s="1" t="s">
        <v>115</v>
      </c>
      <c r="R29" s="33"/>
      <c r="S29" s="33"/>
      <c r="T29" s="33"/>
      <c r="U29" s="33"/>
      <c r="V29" s="33"/>
      <c r="W29" s="33"/>
      <c r="X29" s="33"/>
      <c r="Y29" s="33"/>
      <c r="Z29" s="33"/>
      <c r="AA29" s="33"/>
      <c r="AB29" s="33"/>
      <c r="AC29" s="33"/>
      <c r="AD29" s="33"/>
      <c r="AE29" s="33"/>
      <c r="AF29" s="33"/>
      <c r="AG29" s="33"/>
      <c r="AH29" s="33"/>
      <c r="AI29" s="33"/>
      <c r="AJ29" s="33"/>
      <c r="AK29" s="33"/>
    </row>
    <row r="30" spans="1:38" x14ac:dyDescent="0.35">
      <c r="B30" s="52"/>
    </row>
    <row r="31" spans="1:38" ht="119.25" customHeight="1" x14ac:dyDescent="0.35">
      <c r="A31" s="105" t="s">
        <v>133</v>
      </c>
      <c r="B31" s="105"/>
      <c r="C31" s="105"/>
      <c r="D31" s="105"/>
    </row>
  </sheetData>
  <mergeCells count="67">
    <mergeCell ref="AK6:AK7"/>
    <mergeCell ref="AK20:AK21"/>
    <mergeCell ref="AJ6:AJ7"/>
    <mergeCell ref="AJ20:AJ21"/>
    <mergeCell ref="AH6:AH7"/>
    <mergeCell ref="AH20:AH21"/>
    <mergeCell ref="AG6:AG7"/>
    <mergeCell ref="AG20:AG21"/>
    <mergeCell ref="AI6:AI7"/>
    <mergeCell ref="AI20:AI21"/>
    <mergeCell ref="AD6:AD7"/>
    <mergeCell ref="AD20:AD21"/>
    <mergeCell ref="AC6:AC7"/>
    <mergeCell ref="AC20:AC21"/>
    <mergeCell ref="AF6:AF7"/>
    <mergeCell ref="AF20:AF21"/>
    <mergeCell ref="AE20:AE21"/>
    <mergeCell ref="AE6:AE7"/>
    <mergeCell ref="R20:R21"/>
    <mergeCell ref="S20:S21"/>
    <mergeCell ref="AB6:AB7"/>
    <mergeCell ref="AB20:AB21"/>
    <mergeCell ref="Z6:Z7"/>
    <mergeCell ref="Z20:Z21"/>
    <mergeCell ref="Y6:Y7"/>
    <mergeCell ref="Y20:Y21"/>
    <mergeCell ref="AA6:AA7"/>
    <mergeCell ref="AA20:AA21"/>
    <mergeCell ref="X6:X7"/>
    <mergeCell ref="X20:X21"/>
    <mergeCell ref="T20:T21"/>
    <mergeCell ref="O6:O7"/>
    <mergeCell ref="H6:H7"/>
    <mergeCell ref="H20:H21"/>
    <mergeCell ref="I6:I7"/>
    <mergeCell ref="J6:J7"/>
    <mergeCell ref="K6:K7"/>
    <mergeCell ref="I20:I21"/>
    <mergeCell ref="J20:J21"/>
    <mergeCell ref="K20:K21"/>
    <mergeCell ref="L20:L21"/>
    <mergeCell ref="M20:M21"/>
    <mergeCell ref="N20:N21"/>
    <mergeCell ref="M6:M7"/>
    <mergeCell ref="N6:N7"/>
    <mergeCell ref="L6:L7"/>
    <mergeCell ref="C6:C7"/>
    <mergeCell ref="D6:D7"/>
    <mergeCell ref="B20:B21"/>
    <mergeCell ref="C20:C21"/>
    <mergeCell ref="D20:D21"/>
    <mergeCell ref="A31:D31"/>
    <mergeCell ref="P6:P7"/>
    <mergeCell ref="W6:W7"/>
    <mergeCell ref="W20:W21"/>
    <mergeCell ref="S6:S7"/>
    <mergeCell ref="T6:T7"/>
    <mergeCell ref="U6:U7"/>
    <mergeCell ref="V6:V7"/>
    <mergeCell ref="Q6:Q7"/>
    <mergeCell ref="R6:R7"/>
    <mergeCell ref="U20:U21"/>
    <mergeCell ref="V20:V21"/>
    <mergeCell ref="O20:O21"/>
    <mergeCell ref="P20:P21"/>
    <mergeCell ref="Q20:Q21"/>
    <mergeCell ref="B6:B7"/>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L22"/>
  <sheetViews>
    <sheetView zoomScale="90" zoomScaleNormal="90" workbookViewId="0">
      <selection activeCell="N12" sqref="N12"/>
    </sheetView>
  </sheetViews>
  <sheetFormatPr baseColWidth="10" defaultColWidth="11.44140625" defaultRowHeight="14.4" x14ac:dyDescent="0.35"/>
  <cols>
    <col min="1" max="1" width="27.33203125" style="47" customWidth="1"/>
    <col min="2" max="2" width="7.88671875" style="47" hidden="1" customWidth="1"/>
    <col min="3" max="12" width="7.88671875" style="47" customWidth="1"/>
    <col min="13" max="15" width="8" style="47" customWidth="1"/>
    <col min="16" max="16384" width="11.44140625" style="47"/>
  </cols>
  <sheetData>
    <row r="4" spans="1:12" ht="23.4" x14ac:dyDescent="0.45">
      <c r="A4" s="12" t="s">
        <v>0</v>
      </c>
      <c r="B4" s="13"/>
      <c r="C4" s="13"/>
      <c r="D4" s="13"/>
      <c r="E4" s="13"/>
      <c r="F4" s="13"/>
      <c r="G4" s="13"/>
      <c r="H4" s="13"/>
      <c r="I4" s="13"/>
      <c r="J4" s="13"/>
      <c r="K4" s="13"/>
      <c r="L4" s="13"/>
    </row>
    <row r="5" spans="1:12" ht="14.25" customHeight="1" x14ac:dyDescent="0.35">
      <c r="A5" s="1"/>
      <c r="B5" s="1"/>
    </row>
    <row r="6" spans="1:12" x14ac:dyDescent="0.35">
      <c r="A6" s="3" t="s">
        <v>116</v>
      </c>
      <c r="B6" s="100">
        <v>2018</v>
      </c>
      <c r="C6" s="100">
        <v>2021</v>
      </c>
      <c r="D6" s="100">
        <v>2022</v>
      </c>
      <c r="E6" s="100">
        <v>2023</v>
      </c>
      <c r="F6" s="100">
        <v>2024</v>
      </c>
      <c r="G6" s="100">
        <v>2025</v>
      </c>
      <c r="H6" s="100">
        <v>2026</v>
      </c>
      <c r="I6" s="100">
        <v>2027</v>
      </c>
      <c r="J6" s="100">
        <v>2028</v>
      </c>
      <c r="K6" s="100">
        <v>2029</v>
      </c>
      <c r="L6" s="100">
        <v>2030</v>
      </c>
    </row>
    <row r="7" spans="1:12" x14ac:dyDescent="0.35">
      <c r="A7" s="3" t="s">
        <v>52</v>
      </c>
      <c r="B7" s="100"/>
      <c r="C7" s="100"/>
      <c r="D7" s="100"/>
      <c r="E7" s="100"/>
      <c r="F7" s="100"/>
      <c r="G7" s="100"/>
      <c r="H7" s="100"/>
      <c r="I7" s="100"/>
      <c r="J7" s="100"/>
      <c r="K7" s="100"/>
      <c r="L7" s="100"/>
    </row>
    <row r="8" spans="1:12" ht="8.25" customHeight="1" x14ac:dyDescent="0.35">
      <c r="A8" s="1"/>
      <c r="B8" s="1"/>
    </row>
    <row r="9" spans="1:12" ht="15" x14ac:dyDescent="0.35">
      <c r="A9" s="5" t="s">
        <v>117</v>
      </c>
      <c r="B9" s="7">
        <v>0</v>
      </c>
      <c r="C9" s="97">
        <v>18</v>
      </c>
      <c r="D9" s="97">
        <v>27.4</v>
      </c>
      <c r="E9" s="97">
        <v>27.4</v>
      </c>
      <c r="F9" s="97">
        <v>184.8</v>
      </c>
      <c r="G9" s="97">
        <v>27.4</v>
      </c>
      <c r="H9" s="97">
        <v>27.4</v>
      </c>
      <c r="I9" s="97">
        <v>527.4</v>
      </c>
      <c r="J9" s="97">
        <v>19</v>
      </c>
      <c r="K9" s="97">
        <v>5.3</v>
      </c>
      <c r="L9" s="97">
        <v>500</v>
      </c>
    </row>
    <row r="14" spans="1:12" ht="23.4" x14ac:dyDescent="0.45">
      <c r="A14" s="12" t="s">
        <v>46</v>
      </c>
      <c r="B14" s="13"/>
      <c r="C14" s="13"/>
      <c r="D14" s="13"/>
      <c r="E14" s="13"/>
      <c r="F14" s="13"/>
      <c r="G14" s="13"/>
      <c r="H14" s="13"/>
      <c r="I14" s="13"/>
      <c r="J14" s="13"/>
      <c r="K14" s="13"/>
      <c r="L14" s="13"/>
    </row>
    <row r="15" spans="1:12" ht="13.5" customHeight="1" x14ac:dyDescent="0.35">
      <c r="A15" s="1"/>
      <c r="B15" s="1"/>
    </row>
    <row r="16" spans="1:12" x14ac:dyDescent="0.35">
      <c r="A16" s="3" t="s">
        <v>116</v>
      </c>
      <c r="B16" s="100">
        <v>2018</v>
      </c>
      <c r="C16" s="100">
        <v>2021</v>
      </c>
      <c r="D16" s="100">
        <v>2022</v>
      </c>
      <c r="E16" s="100">
        <v>2023</v>
      </c>
      <c r="F16" s="100">
        <v>2024</v>
      </c>
      <c r="G16" s="100">
        <v>2025</v>
      </c>
      <c r="H16" s="100">
        <v>2026</v>
      </c>
      <c r="I16" s="100">
        <v>2027</v>
      </c>
      <c r="J16" s="103">
        <v>2028</v>
      </c>
      <c r="K16" s="100">
        <v>2029</v>
      </c>
      <c r="L16" s="100">
        <v>2030</v>
      </c>
    </row>
    <row r="17" spans="1:12" x14ac:dyDescent="0.35">
      <c r="A17" s="3" t="s">
        <v>52</v>
      </c>
      <c r="B17" s="100"/>
      <c r="C17" s="100"/>
      <c r="D17" s="100"/>
      <c r="E17" s="100"/>
      <c r="F17" s="100"/>
      <c r="G17" s="100"/>
      <c r="H17" s="100"/>
      <c r="I17" s="100"/>
      <c r="J17" s="103"/>
      <c r="K17" s="100"/>
      <c r="L17" s="100"/>
    </row>
    <row r="18" spans="1:12" x14ac:dyDescent="0.35">
      <c r="A18" s="1"/>
      <c r="B18" s="1"/>
    </row>
    <row r="19" spans="1:12" ht="15" x14ac:dyDescent="0.35">
      <c r="A19" s="5" t="s">
        <v>118</v>
      </c>
      <c r="B19" s="7">
        <v>0</v>
      </c>
      <c r="C19" s="96">
        <v>12</v>
      </c>
      <c r="D19" s="96">
        <v>27</v>
      </c>
      <c r="E19" s="96">
        <v>28</v>
      </c>
      <c r="F19" s="96">
        <v>24</v>
      </c>
      <c r="G19" s="96">
        <v>16</v>
      </c>
      <c r="H19" s="96">
        <v>18</v>
      </c>
      <c r="I19" s="96">
        <v>168</v>
      </c>
      <c r="J19" s="58">
        <v>0</v>
      </c>
      <c r="K19" s="58">
        <v>0</v>
      </c>
      <c r="L19" s="58">
        <v>0</v>
      </c>
    </row>
    <row r="22" spans="1:12" x14ac:dyDescent="0.35">
      <c r="A22" s="1" t="s">
        <v>119</v>
      </c>
      <c r="B22" s="1"/>
      <c r="C22" s="1"/>
      <c r="D22" s="1"/>
      <c r="E22" s="1"/>
      <c r="F22" s="1"/>
      <c r="G22" s="1"/>
      <c r="H22" s="1"/>
      <c r="I22" s="1"/>
    </row>
  </sheetData>
  <mergeCells count="22">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 ref="L6:L7"/>
    <mergeCell ref="L16:L17"/>
    <mergeCell ref="K6:K7"/>
    <mergeCell ref="C6:C7"/>
    <mergeCell ref="D6:D7"/>
    <mergeCell ref="J6:J7"/>
    <mergeCell ref="I6:I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N40"/>
  <sheetViews>
    <sheetView topLeftCell="B28" zoomScale="80" zoomScaleNormal="80" workbookViewId="0">
      <selection activeCell="H58" sqref="H58"/>
    </sheetView>
  </sheetViews>
  <sheetFormatPr baseColWidth="10" defaultColWidth="11.44140625" defaultRowHeight="14.4" x14ac:dyDescent="0.35"/>
  <cols>
    <col min="1" max="1" width="0" style="1" hidden="1" customWidth="1"/>
    <col min="2" max="2" width="57" style="1" customWidth="1"/>
    <col min="3" max="7" width="11.44140625" style="1"/>
    <col min="8" max="8" width="55.88671875" style="1" customWidth="1"/>
    <col min="9" max="36" width="11.44140625" style="1" customWidth="1"/>
    <col min="37" max="16384" width="11.44140625" style="1"/>
  </cols>
  <sheetData>
    <row r="4" spans="1:40" ht="23.4" x14ac:dyDescent="0.4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row>
    <row r="6" spans="1:40" x14ac:dyDescent="0.35">
      <c r="A6" s="1">
        <v>1</v>
      </c>
      <c r="B6" s="3" t="s">
        <v>120</v>
      </c>
      <c r="C6" s="100" t="s">
        <v>130</v>
      </c>
      <c r="D6" s="100" t="s">
        <v>144</v>
      </c>
      <c r="E6" s="100" t="s">
        <v>4</v>
      </c>
      <c r="H6" s="3" t="s">
        <v>120</v>
      </c>
      <c r="I6" s="100" t="s">
        <v>6</v>
      </c>
      <c r="J6" s="100" t="s">
        <v>7</v>
      </c>
      <c r="K6" s="100" t="s">
        <v>8</v>
      </c>
      <c r="L6" s="100" t="s">
        <v>9</v>
      </c>
      <c r="M6" s="100" t="s">
        <v>10</v>
      </c>
      <c r="N6" s="100" t="s">
        <v>11</v>
      </c>
      <c r="O6" s="100" t="s">
        <v>12</v>
      </c>
      <c r="P6" s="100" t="s">
        <v>13</v>
      </c>
      <c r="Q6" s="100" t="s">
        <v>14</v>
      </c>
      <c r="R6" s="100" t="s">
        <v>15</v>
      </c>
      <c r="S6" s="100" t="s">
        <v>16</v>
      </c>
      <c r="T6" s="100" t="s">
        <v>17</v>
      </c>
      <c r="U6" s="100" t="s">
        <v>18</v>
      </c>
      <c r="V6" s="100" t="s">
        <v>19</v>
      </c>
      <c r="W6" s="100" t="s">
        <v>20</v>
      </c>
      <c r="X6" s="100" t="s">
        <v>21</v>
      </c>
      <c r="Y6" s="100" t="s">
        <v>22</v>
      </c>
      <c r="Z6" s="100" t="s">
        <v>23</v>
      </c>
      <c r="AA6" s="100" t="s">
        <v>24</v>
      </c>
      <c r="AB6" s="100" t="s">
        <v>2</v>
      </c>
      <c r="AC6" s="100" t="s">
        <v>25</v>
      </c>
      <c r="AD6" s="100" t="s">
        <v>26</v>
      </c>
      <c r="AE6" s="100" t="s">
        <v>27</v>
      </c>
      <c r="AF6" s="100" t="s">
        <v>3</v>
      </c>
      <c r="AG6" s="100" t="s">
        <v>128</v>
      </c>
      <c r="AH6" s="100" t="s">
        <v>130</v>
      </c>
      <c r="AI6" s="100" t="s">
        <v>139</v>
      </c>
      <c r="AJ6" s="100" t="s">
        <v>141</v>
      </c>
      <c r="AK6" s="100" t="s">
        <v>143</v>
      </c>
      <c r="AL6" s="100" t="s">
        <v>144</v>
      </c>
    </row>
    <row r="7" spans="1:40" x14ac:dyDescent="0.35">
      <c r="A7" s="1">
        <v>2</v>
      </c>
      <c r="B7" s="3" t="s">
        <v>52</v>
      </c>
      <c r="C7" s="100"/>
      <c r="D7" s="100"/>
      <c r="E7" s="100"/>
      <c r="H7" s="3" t="s">
        <v>52</v>
      </c>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row>
    <row r="8" spans="1:40" x14ac:dyDescent="0.35">
      <c r="A8" s="1">
        <v>3</v>
      </c>
    </row>
    <row r="9" spans="1:40" x14ac:dyDescent="0.35">
      <c r="A9" s="1">
        <v>4</v>
      </c>
      <c r="B9" s="6" t="s">
        <v>136</v>
      </c>
      <c r="C9" s="9">
        <f>+HLOOKUP($C$6,$H$6:$AS$18,A9,FALSE)</f>
        <v>951.04969842999992</v>
      </c>
      <c r="D9" s="9">
        <f>+HLOOKUP($D$6,$H$6:$AS$18,A9,FALSE)</f>
        <v>1006.0806684300001</v>
      </c>
      <c r="E9" s="38">
        <f>D9/C9-1</f>
        <v>5.7863400925152186E-2</v>
      </c>
      <c r="H9" s="6" t="s">
        <v>121</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54"/>
    </row>
    <row r="10" spans="1:40" ht="8.25" customHeight="1" x14ac:dyDescent="0.35">
      <c r="A10" s="1">
        <v>5</v>
      </c>
      <c r="I10" s="22"/>
      <c r="J10" s="22"/>
      <c r="K10" s="22"/>
      <c r="L10" s="22"/>
      <c r="M10" s="22"/>
      <c r="N10" s="22"/>
      <c r="O10" s="22"/>
      <c r="P10" s="22"/>
      <c r="AM10" s="54"/>
    </row>
    <row r="11" spans="1:40" x14ac:dyDescent="0.35">
      <c r="A11" s="1">
        <v>6</v>
      </c>
      <c r="B11" s="5" t="s">
        <v>122</v>
      </c>
      <c r="C11" s="8">
        <f>+HLOOKUP($C$6,$H$6:$AI$18,A11,FALSE)</f>
        <v>78.900000000000006</v>
      </c>
      <c r="D11" s="8">
        <f>+HLOOKUP($D$6,$H$6:$AS$18,A11,FALSE)</f>
        <v>93.198890000000006</v>
      </c>
      <c r="E11" s="36">
        <f>+D11/C11-1</f>
        <v>0.18122801013941703</v>
      </c>
      <c r="H11" s="5" t="s">
        <v>122</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54"/>
      <c r="AN11" s="53"/>
    </row>
    <row r="12" spans="1:40" x14ac:dyDescent="0.35">
      <c r="A12" s="1">
        <v>7</v>
      </c>
      <c r="B12" s="5" t="s">
        <v>137</v>
      </c>
      <c r="C12" s="8">
        <f>+HLOOKUP($C$6,$H$6:$AS$18,A12,FALSE)</f>
        <v>-200.4</v>
      </c>
      <c r="D12" s="8">
        <f>+HLOOKUP($D$6,$H$6:$AS$18,A12,FALSE)</f>
        <v>-280.87299999999999</v>
      </c>
      <c r="E12" s="36">
        <f t="shared" ref="E12:E14" si="1">+D12/C12-1</f>
        <v>0.40156187624750483</v>
      </c>
      <c r="H12" s="5" t="s">
        <v>123</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54"/>
      <c r="AN12" s="53"/>
    </row>
    <row r="13" spans="1:40" x14ac:dyDescent="0.35">
      <c r="A13" s="1">
        <v>8</v>
      </c>
      <c r="B13" s="5" t="s">
        <v>135</v>
      </c>
      <c r="C13" s="8">
        <f>+HLOOKUP($C$6,$H$6:$AS$18,A13,FALSE)</f>
        <v>-13.700000000000001</v>
      </c>
      <c r="D13" s="8">
        <f>+HLOOKUP($D$6,$H$6:$AS$18,A13,FALSE)</f>
        <v>-63.443000000000005</v>
      </c>
      <c r="E13" s="36">
        <f t="shared" si="1"/>
        <v>3.6308759124087588</v>
      </c>
      <c r="H13" s="5" t="s">
        <v>124</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54"/>
      <c r="AN13" s="53"/>
    </row>
    <row r="14" spans="1:40" x14ac:dyDescent="0.35">
      <c r="A14" s="1">
        <v>9</v>
      </c>
      <c r="B14" s="20" t="s">
        <v>125</v>
      </c>
      <c r="C14" s="21">
        <f>+HLOOKUP($C$6,$H$6:$AS$18,A14,FALSE)</f>
        <v>-135.19999999999999</v>
      </c>
      <c r="D14" s="21">
        <f>+HLOOKUP($D$6,$H$6:$AS$18,A14,FALSE)</f>
        <v>-251.11711</v>
      </c>
      <c r="E14" s="56">
        <f t="shared" si="1"/>
        <v>0.85737507396449719</v>
      </c>
      <c r="H14" s="20" t="s">
        <v>125</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21">
        <f>SUM(AJ11:AJ13)</f>
        <v>-12.699999999999996</v>
      </c>
      <c r="AK14" s="21">
        <f>SUM(AK11:AK13)</f>
        <v>71.363970000000009</v>
      </c>
      <c r="AL14" s="21">
        <f>SUM(AL11:AL13)</f>
        <v>-251.11711</v>
      </c>
      <c r="AM14" s="54"/>
      <c r="AN14" s="53"/>
    </row>
    <row r="15" spans="1:40" ht="8.25" customHeight="1" x14ac:dyDescent="0.35">
      <c r="A15" s="1">
        <v>10</v>
      </c>
      <c r="I15" s="22"/>
      <c r="J15" s="22"/>
      <c r="K15" s="22"/>
      <c r="L15" s="22"/>
      <c r="M15" s="22"/>
      <c r="N15" s="22"/>
      <c r="O15" s="22"/>
      <c r="P15" s="22"/>
      <c r="AM15" s="54"/>
    </row>
    <row r="16" spans="1:40" x14ac:dyDescent="0.35">
      <c r="A16" s="1">
        <v>11</v>
      </c>
      <c r="B16" s="5" t="s">
        <v>126</v>
      </c>
      <c r="C16" s="8">
        <f>+HLOOKUP($C$6,$H$6:$AS$18,A16,FALSE)</f>
        <v>-2.6999999999999997</v>
      </c>
      <c r="D16" s="8">
        <f>+HLOOKUP($D$6,$H$6:$AS$18,A16,FALSE)</f>
        <v>2.0540000000000003</v>
      </c>
      <c r="E16" s="49" t="s">
        <v>44</v>
      </c>
      <c r="H16" s="5" t="s">
        <v>126</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54"/>
    </row>
    <row r="17" spans="1:39" ht="8.25" customHeight="1" x14ac:dyDescent="0.35">
      <c r="A17" s="1">
        <v>12</v>
      </c>
      <c r="I17" s="22"/>
      <c r="J17" s="22"/>
      <c r="K17" s="22"/>
      <c r="L17" s="22"/>
      <c r="M17" s="22"/>
      <c r="N17" s="22"/>
      <c r="O17" s="22"/>
      <c r="P17" s="22"/>
      <c r="AM17" s="54"/>
    </row>
    <row r="18" spans="1:39" x14ac:dyDescent="0.35">
      <c r="A18" s="1">
        <v>13</v>
      </c>
      <c r="B18" s="6" t="s">
        <v>127</v>
      </c>
      <c r="C18" s="9">
        <f>+HLOOKUP($C$6,$H$6:$AS$18,A18,FALSE)</f>
        <v>813.14969842999994</v>
      </c>
      <c r="D18" s="9">
        <f>+HLOOKUP($D$6,$H$6:$AS$18,A18,FALSE)</f>
        <v>757.01755843000001</v>
      </c>
      <c r="E18" s="11">
        <f>D18/C18-1</f>
        <v>-6.9030511981222897E-2</v>
      </c>
      <c r="H18" s="6" t="s">
        <v>127</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9">
        <f>AJ16+AJ14+AJ9</f>
        <v>936.4496984299999</v>
      </c>
      <c r="AK18" s="9">
        <f>AK16+AK14+AK9</f>
        <v>975.10996842999998</v>
      </c>
      <c r="AL18" s="9">
        <f>AL16+AL14+AL9</f>
        <v>757.01755843000001</v>
      </c>
      <c r="AM18" s="54"/>
    </row>
    <row r="23" spans="1:39" ht="23.4" x14ac:dyDescent="0.45">
      <c r="B23" s="12" t="s">
        <v>46</v>
      </c>
      <c r="C23" s="13"/>
      <c r="D23" s="13"/>
      <c r="E23" s="13"/>
      <c r="H23" s="12" t="s">
        <v>46</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row>
    <row r="25" spans="1:39" x14ac:dyDescent="0.35">
      <c r="A25" s="1">
        <v>1</v>
      </c>
      <c r="B25" s="3" t="s">
        <v>120</v>
      </c>
      <c r="C25" s="100" t="s">
        <v>130</v>
      </c>
      <c r="D25" s="100" t="s">
        <v>144</v>
      </c>
      <c r="E25" s="100" t="s">
        <v>4</v>
      </c>
      <c r="H25" s="3" t="s">
        <v>120</v>
      </c>
      <c r="I25" s="100" t="s">
        <v>6</v>
      </c>
      <c r="J25" s="100" t="s">
        <v>7</v>
      </c>
      <c r="K25" s="100" t="s">
        <v>8</v>
      </c>
      <c r="L25" s="100" t="s">
        <v>9</v>
      </c>
      <c r="M25" s="100" t="s">
        <v>10</v>
      </c>
      <c r="N25" s="100" t="s">
        <v>11</v>
      </c>
      <c r="O25" s="100" t="s">
        <v>12</v>
      </c>
      <c r="P25" s="100" t="s">
        <v>13</v>
      </c>
      <c r="Q25" s="100" t="s">
        <v>14</v>
      </c>
      <c r="R25" s="100" t="s">
        <v>15</v>
      </c>
      <c r="S25" s="100" t="s">
        <v>16</v>
      </c>
      <c r="T25" s="100" t="s">
        <v>17</v>
      </c>
      <c r="U25" s="100" t="s">
        <v>18</v>
      </c>
      <c r="V25" s="100" t="s">
        <v>19</v>
      </c>
      <c r="W25" s="100" t="s">
        <v>20</v>
      </c>
      <c r="X25" s="100" t="s">
        <v>21</v>
      </c>
      <c r="Y25" s="100" t="s">
        <v>22</v>
      </c>
      <c r="Z25" s="100" t="s">
        <v>23</v>
      </c>
      <c r="AA25" s="100" t="s">
        <v>24</v>
      </c>
      <c r="AB25" s="100" t="s">
        <v>2</v>
      </c>
      <c r="AC25" s="100" t="s">
        <v>25</v>
      </c>
      <c r="AD25" s="100" t="s">
        <v>26</v>
      </c>
      <c r="AE25" s="100" t="s">
        <v>27</v>
      </c>
      <c r="AF25" s="100" t="s">
        <v>3</v>
      </c>
      <c r="AG25" s="100" t="s">
        <v>128</v>
      </c>
      <c r="AH25" s="100" t="s">
        <v>130</v>
      </c>
      <c r="AI25" s="100" t="s">
        <v>139</v>
      </c>
      <c r="AJ25" s="100" t="s">
        <v>141</v>
      </c>
      <c r="AK25" s="100" t="s">
        <v>143</v>
      </c>
      <c r="AL25" s="100" t="s">
        <v>144</v>
      </c>
    </row>
    <row r="26" spans="1:39" x14ac:dyDescent="0.35">
      <c r="A26" s="1">
        <v>2</v>
      </c>
      <c r="B26" s="3" t="s">
        <v>52</v>
      </c>
      <c r="C26" s="100"/>
      <c r="D26" s="100"/>
      <c r="E26" s="100"/>
      <c r="H26" s="3" t="s">
        <v>52</v>
      </c>
      <c r="I26" s="100"/>
      <c r="J26" s="100"/>
      <c r="K26" s="100"/>
      <c r="L26" s="100"/>
      <c r="M26" s="100"/>
      <c r="N26" s="100"/>
      <c r="O26" s="100"/>
      <c r="P26" s="100"/>
      <c r="Q26" s="100"/>
      <c r="R26" s="100"/>
      <c r="S26" s="100"/>
      <c r="T26" s="100"/>
      <c r="U26" s="100"/>
      <c r="V26" s="100"/>
      <c r="W26" s="100"/>
      <c r="X26" s="100"/>
      <c r="Y26" s="100"/>
      <c r="Z26" s="100"/>
      <c r="AA26" s="100"/>
      <c r="AB26" s="100"/>
      <c r="AC26" s="100"/>
      <c r="AD26" s="100"/>
      <c r="AE26" s="100"/>
      <c r="AF26" s="100"/>
      <c r="AG26" s="100"/>
      <c r="AH26" s="100"/>
      <c r="AI26" s="100"/>
      <c r="AJ26" s="100"/>
      <c r="AK26" s="100"/>
      <c r="AL26" s="100"/>
    </row>
    <row r="27" spans="1:39" x14ac:dyDescent="0.35">
      <c r="A27" s="1">
        <v>3</v>
      </c>
    </row>
    <row r="28" spans="1:39" x14ac:dyDescent="0.35">
      <c r="A28" s="1">
        <v>4</v>
      </c>
      <c r="B28" s="6" t="s">
        <v>136</v>
      </c>
      <c r="C28" s="9">
        <f>+HLOOKUP($C$25,$H$25:$AS$37,A28,FALSE)</f>
        <v>28.670700000000004</v>
      </c>
      <c r="D28" s="9">
        <f>+HLOOKUP($D$25,$H$25:$AS$37,A28,FALSE)</f>
        <v>21.771700000000006</v>
      </c>
      <c r="E28" s="38">
        <f>D28/C28-1</f>
        <v>-0.24062893476615488</v>
      </c>
      <c r="H28" s="6" t="s">
        <v>121</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c r="AJ28" s="9">
        <v>27.37070000000001</v>
      </c>
      <c r="AK28" s="9">
        <v>30.970700000000008</v>
      </c>
      <c r="AL28" s="9">
        <f>+AK37</f>
        <v>21.771700000000006</v>
      </c>
    </row>
    <row r="29" spans="1:39" ht="8.25" customHeight="1" x14ac:dyDescent="0.35">
      <c r="A29" s="1">
        <v>5</v>
      </c>
      <c r="I29" s="22"/>
      <c r="J29" s="22"/>
      <c r="K29" s="22"/>
      <c r="L29" s="22"/>
      <c r="M29" s="22"/>
      <c r="N29" s="22"/>
      <c r="O29" s="22"/>
      <c r="P29" s="22"/>
    </row>
    <row r="30" spans="1:39" x14ac:dyDescent="0.35">
      <c r="A30" s="1">
        <v>6</v>
      </c>
      <c r="B30" s="5" t="s">
        <v>122</v>
      </c>
      <c r="C30" s="8">
        <f>+HLOOKUP($C$25,$H$25:$AS$37,A30,FALSE)</f>
        <v>16.5</v>
      </c>
      <c r="D30" s="8">
        <f>+HLOOKUP($D$25,$H$25:$AS$37,A30,FALSE)</f>
        <v>17.199999999999996</v>
      </c>
      <c r="E30" s="37">
        <f>+D30/C30-1</f>
        <v>4.2424242424242253E-2</v>
      </c>
      <c r="H30" s="5" t="s">
        <v>122</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row>
    <row r="31" spans="1:39" x14ac:dyDescent="0.35">
      <c r="A31" s="1">
        <v>7</v>
      </c>
      <c r="B31" s="5" t="s">
        <v>138</v>
      </c>
      <c r="C31" s="8">
        <f>+HLOOKUP($C$25,$H$25:$AS$37,A31,FALSE)</f>
        <v>0.6</v>
      </c>
      <c r="D31" s="8">
        <f>+HLOOKUP($D$25,$H$25:$AS$37,A31,FALSE)</f>
        <v>-4.8500000000000014</v>
      </c>
      <c r="E31" s="37">
        <f>+D31/C31-1</f>
        <v>-9.0833333333333357</v>
      </c>
      <c r="H31" s="5" t="s">
        <v>123</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row>
    <row r="32" spans="1:39" x14ac:dyDescent="0.35">
      <c r="A32" s="1">
        <v>8</v>
      </c>
      <c r="B32" s="5" t="s">
        <v>124</v>
      </c>
      <c r="C32" s="8">
        <f>+HLOOKUP($C$25,$H$25:$AS$37,A32,FALSE)</f>
        <v>-4.5999999999999996</v>
      </c>
      <c r="D32" s="8">
        <f>+HLOOKUP($D$25,$H$25:$AS$37,A32,FALSE)</f>
        <v>-1.097</v>
      </c>
      <c r="E32" s="37" t="s">
        <v>44</v>
      </c>
      <c r="H32" s="5" t="s">
        <v>124</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row>
    <row r="33" spans="1:38" x14ac:dyDescent="0.35">
      <c r="A33" s="1">
        <v>9</v>
      </c>
      <c r="B33" s="20" t="s">
        <v>125</v>
      </c>
      <c r="C33" s="21">
        <f>+HLOOKUP($C$25,$H$25:$AS$37,A33,FALSE)</f>
        <v>12.500000000000002</v>
      </c>
      <c r="D33" s="21">
        <f>+HLOOKUP($D$25,$H$25:$AS$37,A33,FALSE)</f>
        <v>11.252999999999995</v>
      </c>
      <c r="E33" s="56" t="s">
        <v>44</v>
      </c>
      <c r="H33" s="20" t="s">
        <v>125</v>
      </c>
      <c r="I33" s="23"/>
      <c r="J33" s="23"/>
      <c r="K33" s="23"/>
      <c r="L33" s="23"/>
      <c r="M33" s="23"/>
      <c r="N33" s="23"/>
      <c r="O33" s="23"/>
      <c r="P33" s="23"/>
      <c r="Q33" s="21">
        <v>-3.0490999999999984</v>
      </c>
      <c r="R33" s="21">
        <v>0.96990000000000065</v>
      </c>
      <c r="S33" s="21">
        <f t="shared" ref="S33" si="12">SUM(S30:S32)</f>
        <v>2.633999999999999</v>
      </c>
      <c r="T33" s="21">
        <f t="shared" ref="T33" si="13">SUM(T30:T32)</f>
        <v>-20.722499999999997</v>
      </c>
      <c r="U33" s="21">
        <f t="shared" ref="U33" si="14">SUM(U30:U32)</f>
        <v>16.568999999999999</v>
      </c>
      <c r="V33" s="21">
        <f t="shared" ref="V33:X33" si="15">SUM(V30:V32)</f>
        <v>-1.1770000000000018</v>
      </c>
      <c r="W33" s="21">
        <f t="shared" si="15"/>
        <v>6.6410000000000009</v>
      </c>
      <c r="X33" s="21">
        <f t="shared" si="15"/>
        <v>11.280999999999999</v>
      </c>
      <c r="Y33" s="21">
        <f>SUM(Y30:Y32)</f>
        <v>-10.9</v>
      </c>
      <c r="Z33" s="21">
        <v>12.5</v>
      </c>
      <c r="AA33" s="21">
        <v>-5.9</v>
      </c>
      <c r="AB33" s="21">
        <f t="shared" ref="AB33:AL33" si="16">+AB30+AB31+AB32</f>
        <v>-22.186</v>
      </c>
      <c r="AC33" s="21">
        <f t="shared" si="16"/>
        <v>-11</v>
      </c>
      <c r="AD33" s="21">
        <f t="shared" si="16"/>
        <v>4.3000000000000007</v>
      </c>
      <c r="AE33" s="21">
        <f t="shared" si="16"/>
        <v>-3.7999999999999994</v>
      </c>
      <c r="AF33" s="21">
        <f t="shared" si="16"/>
        <v>9.8999999999999986</v>
      </c>
      <c r="AG33" s="21">
        <f t="shared" si="16"/>
        <v>5.5</v>
      </c>
      <c r="AH33" s="21">
        <f t="shared" si="16"/>
        <v>12.500000000000002</v>
      </c>
      <c r="AI33" s="21">
        <f t="shared" si="16"/>
        <v>-13.299999999999997</v>
      </c>
      <c r="AJ33" s="21">
        <f t="shared" si="16"/>
        <v>3.6999999999999997</v>
      </c>
      <c r="AK33" s="21">
        <f t="shared" si="16"/>
        <v>-8.8529999999999998</v>
      </c>
      <c r="AL33" s="21">
        <f t="shared" si="16"/>
        <v>11.252999999999995</v>
      </c>
    </row>
    <row r="34" spans="1:38" ht="8.25" customHeight="1" x14ac:dyDescent="0.35">
      <c r="A34" s="1">
        <v>10</v>
      </c>
      <c r="I34" s="22"/>
      <c r="J34" s="22"/>
      <c r="K34" s="22"/>
      <c r="L34" s="22"/>
      <c r="M34" s="22"/>
      <c r="N34" s="22"/>
      <c r="O34" s="22"/>
      <c r="P34" s="22"/>
    </row>
    <row r="35" spans="1:38" x14ac:dyDescent="0.35">
      <c r="A35" s="1">
        <v>11</v>
      </c>
      <c r="B35" s="5" t="s">
        <v>126</v>
      </c>
      <c r="C35" s="8">
        <f>+HLOOKUP($C$25,$H$25:$AS$37,A35,FALSE)</f>
        <v>-0.2</v>
      </c>
      <c r="D35" s="8">
        <f>+HLOOKUP($D$25,$H$25:$AS$37,A35,FALSE)</f>
        <v>4.5999999999999985E-2</v>
      </c>
      <c r="E35" s="37">
        <f>+D35/C35-1</f>
        <v>-1.23</v>
      </c>
      <c r="H35" s="5" t="s">
        <v>126</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row>
    <row r="36" spans="1:38" ht="8.25" customHeight="1" x14ac:dyDescent="0.35">
      <c r="A36" s="1">
        <v>12</v>
      </c>
      <c r="I36" s="22"/>
      <c r="J36" s="22"/>
      <c r="K36" s="22"/>
      <c r="L36" s="22"/>
      <c r="M36" s="22"/>
      <c r="N36" s="22"/>
      <c r="O36" s="22"/>
      <c r="P36" s="22"/>
    </row>
    <row r="37" spans="1:38" x14ac:dyDescent="0.35">
      <c r="A37" s="1">
        <v>13</v>
      </c>
      <c r="B37" s="6" t="s">
        <v>127</v>
      </c>
      <c r="C37" s="9">
        <f>+HLOOKUP($C$25,$H$25:$AS$37,A37,FALSE)</f>
        <v>40.970700000000001</v>
      </c>
      <c r="D37" s="9">
        <f>+HLOOKUP($D$25,$H$25:$AS$37,A37,FALSE)</f>
        <v>33.070700000000002</v>
      </c>
      <c r="E37" s="38">
        <f>D37/C37-1</f>
        <v>-0.19282072310211928</v>
      </c>
      <c r="H37" s="6" t="s">
        <v>127</v>
      </c>
      <c r="I37" s="19"/>
      <c r="J37" s="19"/>
      <c r="K37" s="19"/>
      <c r="L37" s="19"/>
      <c r="M37" s="19"/>
      <c r="N37" s="19"/>
      <c r="O37" s="19"/>
      <c r="P37" s="19"/>
      <c r="Q37" s="9">
        <f t="shared" ref="Q37:X37" si="17">Q35+Q33+Q28</f>
        <v>39.150300000000001</v>
      </c>
      <c r="R37" s="9">
        <f t="shared" si="17"/>
        <v>40.120200000000004</v>
      </c>
      <c r="S37" s="9">
        <f t="shared" si="17"/>
        <v>42.754200000000004</v>
      </c>
      <c r="T37" s="9">
        <f t="shared" si="17"/>
        <v>22.031700000000008</v>
      </c>
      <c r="U37" s="9">
        <f t="shared" si="17"/>
        <v>38.978700000000003</v>
      </c>
      <c r="V37" s="9">
        <f t="shared" si="17"/>
        <v>37.817700000000002</v>
      </c>
      <c r="W37" s="9">
        <f t="shared" si="17"/>
        <v>43.233699999999999</v>
      </c>
      <c r="X37" s="9">
        <f t="shared" si="17"/>
        <v>52.870699999999999</v>
      </c>
      <c r="Y37" s="9">
        <f>Y35+Y33+Y28</f>
        <v>40.570700000000002</v>
      </c>
      <c r="Z37" s="9">
        <f>Z35+Z33+Z28</f>
        <v>52.370699999999999</v>
      </c>
      <c r="AA37" s="9">
        <f>AA35+AA33+AA28</f>
        <v>46.370699999999999</v>
      </c>
      <c r="AB37" s="9">
        <f t="shared" ref="AB37:AH37" si="18">+AB28+AB33+AB35</f>
        <v>23.706199999999999</v>
      </c>
      <c r="AC37" s="9">
        <f t="shared" si="18"/>
        <v>12.970700000000004</v>
      </c>
      <c r="AD37" s="9">
        <f t="shared" si="18"/>
        <v>17.470700000000004</v>
      </c>
      <c r="AE37" s="9">
        <f t="shared" si="18"/>
        <v>13.370700000000005</v>
      </c>
      <c r="AF37" s="9">
        <f t="shared" si="18"/>
        <v>23.770700000000005</v>
      </c>
      <c r="AG37" s="9">
        <f t="shared" si="18"/>
        <v>28.670700000000004</v>
      </c>
      <c r="AH37" s="9">
        <f t="shared" si="18"/>
        <v>40.970700000000001</v>
      </c>
      <c r="AI37" s="9">
        <f>+AI28+AI33+AI35</f>
        <v>27.370700000000003</v>
      </c>
      <c r="AJ37" s="9">
        <f>+AJ28+AJ33+AJ35</f>
        <v>30.970700000000008</v>
      </c>
      <c r="AK37" s="9">
        <f t="shared" ref="AK37" si="19">+AK28+AK33+AK35</f>
        <v>21.771700000000006</v>
      </c>
      <c r="AL37" s="9">
        <f>+AL28+AL33+AL35</f>
        <v>33.070700000000002</v>
      </c>
    </row>
    <row r="40" spans="1:38" ht="93.75" customHeight="1" x14ac:dyDescent="0.35">
      <c r="B40" s="102" t="s">
        <v>134</v>
      </c>
      <c r="C40" s="106"/>
      <c r="D40" s="106"/>
      <c r="E40" s="106"/>
    </row>
  </sheetData>
  <mergeCells count="67">
    <mergeCell ref="AI6:AI7"/>
    <mergeCell ref="AI25:AI26"/>
    <mergeCell ref="AH6:AH7"/>
    <mergeCell ref="AH25:AH26"/>
    <mergeCell ref="AA6:AA7"/>
    <mergeCell ref="AA25:AA26"/>
    <mergeCell ref="AD25:AD26"/>
    <mergeCell ref="V25:V26"/>
    <mergeCell ref="R6:R7"/>
    <mergeCell ref="S6:S7"/>
    <mergeCell ref="T6:T7"/>
    <mergeCell ref="U6:U7"/>
    <mergeCell ref="V6:V7"/>
    <mergeCell ref="C6:C7"/>
    <mergeCell ref="D6:D7"/>
    <mergeCell ref="E6:E7"/>
    <mergeCell ref="C25:C26"/>
    <mergeCell ref="D25:D26"/>
    <mergeCell ref="E25:E26"/>
    <mergeCell ref="M25:M26"/>
    <mergeCell ref="N25:N26"/>
    <mergeCell ref="O25:O26"/>
    <mergeCell ref="N6:N7"/>
    <mergeCell ref="Z6:Z7"/>
    <mergeCell ref="Z25:Z26"/>
    <mergeCell ref="X6:X7"/>
    <mergeCell ref="X25:X26"/>
    <mergeCell ref="W6:W7"/>
    <mergeCell ref="O6:O7"/>
    <mergeCell ref="P6:P7"/>
    <mergeCell ref="Q6:Q7"/>
    <mergeCell ref="S25:S26"/>
    <mergeCell ref="T25:T26"/>
    <mergeCell ref="U25:U26"/>
    <mergeCell ref="W25:W26"/>
    <mergeCell ref="AE25:AE26"/>
    <mergeCell ref="AD6:AD7"/>
    <mergeCell ref="I25:I26"/>
    <mergeCell ref="J25:J26"/>
    <mergeCell ref="AJ6:AJ7"/>
    <mergeCell ref="AJ25:AJ26"/>
    <mergeCell ref="I6:I7"/>
    <mergeCell ref="J6:J7"/>
    <mergeCell ref="K6:K7"/>
    <mergeCell ref="L6:L7"/>
    <mergeCell ref="M6:M7"/>
    <mergeCell ref="P25:P26"/>
    <mergeCell ref="Q25:Q26"/>
    <mergeCell ref="R25:R26"/>
    <mergeCell ref="K25:K26"/>
    <mergeCell ref="L25:L26"/>
    <mergeCell ref="AL6:AL7"/>
    <mergeCell ref="AL25:AL26"/>
    <mergeCell ref="AK6:AK7"/>
    <mergeCell ref="AK25:AK26"/>
    <mergeCell ref="B40:E40"/>
    <mergeCell ref="AG6:AG7"/>
    <mergeCell ref="AG25:AG26"/>
    <mergeCell ref="AB25:AB26"/>
    <mergeCell ref="Y6:Y7"/>
    <mergeCell ref="Y25:Y26"/>
    <mergeCell ref="AC6:AC7"/>
    <mergeCell ref="AC25:AC26"/>
    <mergeCell ref="AB6:AB7"/>
    <mergeCell ref="AF25:AF26"/>
    <mergeCell ref="AF6:AF7"/>
    <mergeCell ref="AE6:AE7"/>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A24069-4881-426E-A50B-2B90C6FAFD2F}">
  <ds:schemaRefs>
    <ds:schemaRef ds:uri="http://purl.org/dc/elements/1.1/"/>
    <ds:schemaRef ds:uri="http://purl.org/dc/terms/"/>
    <ds:schemaRef ds:uri="af28b929-2fa0-4937-be7e-13907b45f7fc"/>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3.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2021-07-28T22:11:51Z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