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mc:AlternateContent xmlns:mc="http://schemas.openxmlformats.org/markup-compatibility/2006">
    <mc:Choice Requires="x15">
      <x15ac:absPath xmlns:x15ac="http://schemas.microsoft.com/office/spreadsheetml/2010/11/ac" url="C:\Users\izaldivar\Documents\Datos Financieros Pagina Web\2Q19\"/>
    </mc:Choice>
  </mc:AlternateContent>
  <xr:revisionPtr revIDLastSave="0" documentId="13_ncr:1_{559AED48-C0D0-45E2-9C74-CFA2E88F2435}" xr6:coauthVersionLast="41" xr6:coauthVersionMax="41" xr10:uidLastSave="{00000000-0000-0000-0000-000000000000}"/>
  <bookViews>
    <workbookView xWindow="-120" yWindow="-120" windowWidth="29040" windowHeight="15840" tabRatio="723" activeTab="5" xr2:uid="{00000000-000D-0000-FFFF-FFFF00000000}"/>
  </bookViews>
  <sheets>
    <sheet name="Physical Sales &amp; Gx." sheetId="6" r:id="rId1"/>
    <sheet name="Income Statement" sheetId="1" r:id="rId2"/>
    <sheet name="Operating Income" sheetId="2" r:id="rId3"/>
    <sheet name="Non-Operating Income" sheetId="3" r:id="rId4"/>
    <sheet name="Balance Sheet" sheetId="4" r:id="rId5"/>
    <sheet name="Main Debt Items" sheetId="7" r:id="rId6"/>
    <sheet name="Amortization Profile" sheetId="8" r:id="rId7"/>
    <sheet name="Cash Flow" sheetId="5" r:id="rId8"/>
  </sheets>
  <externalReferences>
    <externalReference r:id="rId9"/>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27" i="7" l="1"/>
  <c r="C26" i="7"/>
  <c r="C25" i="7"/>
  <c r="C24" i="7"/>
  <c r="C23" i="7"/>
  <c r="B27" i="7"/>
  <c r="B26" i="7"/>
  <c r="B25" i="7"/>
  <c r="B24" i="7"/>
  <c r="B23" i="7"/>
  <c r="C13" i="7"/>
  <c r="C12" i="7"/>
  <c r="C11" i="7"/>
  <c r="C10" i="7"/>
  <c r="C9" i="7"/>
  <c r="B13" i="7"/>
  <c r="B12" i="7"/>
  <c r="B11" i="7"/>
  <c r="B10" i="7"/>
  <c r="B9" i="7"/>
  <c r="E52" i="2" l="1"/>
  <c r="E51" i="2"/>
  <c r="E47" i="2"/>
  <c r="E46" i="2"/>
  <c r="E45" i="2"/>
  <c r="E43" i="2"/>
  <c r="E42" i="2"/>
  <c r="D45" i="2"/>
  <c r="C45" i="2"/>
  <c r="D41" i="2"/>
  <c r="E41" i="2" s="1"/>
  <c r="C41" i="2"/>
  <c r="E29" i="2"/>
  <c r="E28" i="2"/>
  <c r="E27" i="2"/>
  <c r="E23" i="2"/>
  <c r="E22" i="2"/>
  <c r="E21" i="2"/>
  <c r="E20" i="2"/>
  <c r="E19" i="2"/>
  <c r="E18" i="2"/>
  <c r="E15" i="2"/>
  <c r="E13" i="2"/>
  <c r="E12" i="2"/>
  <c r="E11" i="2"/>
  <c r="D17" i="2"/>
  <c r="D25" i="2" s="1"/>
  <c r="C17" i="2"/>
  <c r="C10" i="2"/>
  <c r="D10" i="2"/>
  <c r="C25" i="2" l="1"/>
  <c r="C31" i="2" s="1"/>
  <c r="C33" i="2" s="1"/>
  <c r="E10" i="2"/>
  <c r="C49" i="2"/>
  <c r="D49" i="2"/>
  <c r="E25" i="2"/>
  <c r="D31" i="2"/>
  <c r="E17" i="2"/>
  <c r="E33" i="5"/>
  <c r="E16" i="5"/>
  <c r="D37" i="5"/>
  <c r="D35" i="5"/>
  <c r="D33" i="5"/>
  <c r="D32" i="5"/>
  <c r="D31" i="5"/>
  <c r="D30" i="5"/>
  <c r="D28" i="5"/>
  <c r="C37" i="5"/>
  <c r="C35" i="5"/>
  <c r="C33" i="5"/>
  <c r="C32" i="5"/>
  <c r="C31" i="5"/>
  <c r="C30" i="5"/>
  <c r="C28" i="5"/>
  <c r="D18" i="5"/>
  <c r="D16" i="5"/>
  <c r="D14" i="5"/>
  <c r="D13" i="5"/>
  <c r="D12" i="5"/>
  <c r="D11" i="5"/>
  <c r="C18" i="5"/>
  <c r="C16" i="5"/>
  <c r="C11" i="5"/>
  <c r="C14" i="5"/>
  <c r="C13" i="5"/>
  <c r="C12" i="5"/>
  <c r="D9" i="5"/>
  <c r="C9" i="5"/>
  <c r="AD18" i="5"/>
  <c r="AD14" i="5"/>
  <c r="AD37" i="5"/>
  <c r="AD33" i="5"/>
  <c r="C56" i="2" l="1"/>
  <c r="C54" i="2"/>
  <c r="E49" i="2"/>
  <c r="D54" i="2"/>
  <c r="E54" i="2" s="1"/>
  <c r="D33" i="2"/>
  <c r="E33" i="2" s="1"/>
  <c r="E31" i="2"/>
  <c r="AC25" i="7"/>
  <c r="D56" i="2" l="1"/>
  <c r="E56" i="2" s="1"/>
  <c r="D37" i="4"/>
  <c r="D36" i="4"/>
  <c r="D35" i="4"/>
  <c r="D34" i="4"/>
  <c r="D33" i="4"/>
  <c r="D32" i="4"/>
  <c r="D31" i="4"/>
  <c r="D30" i="4"/>
  <c r="D29" i="4"/>
  <c r="D28" i="4"/>
  <c r="C37" i="4"/>
  <c r="C36" i="4"/>
  <c r="C35" i="4"/>
  <c r="C34" i="4"/>
  <c r="C33" i="4"/>
  <c r="C32" i="4"/>
  <c r="C31" i="4"/>
  <c r="C30" i="4"/>
  <c r="C29" i="4"/>
  <c r="C28" i="4"/>
  <c r="D18" i="4"/>
  <c r="D17" i="4"/>
  <c r="D16" i="4"/>
  <c r="D15" i="4"/>
  <c r="D14" i="4"/>
  <c r="D12" i="4"/>
  <c r="D11" i="4"/>
  <c r="D10" i="4"/>
  <c r="D9" i="4"/>
  <c r="C18" i="4"/>
  <c r="C17" i="4"/>
  <c r="C16" i="4"/>
  <c r="C15" i="4"/>
  <c r="C14" i="4"/>
  <c r="C12" i="4"/>
  <c r="C11" i="4"/>
  <c r="C10" i="4"/>
  <c r="C9" i="4"/>
  <c r="R18" i="4"/>
  <c r="R12" i="4"/>
  <c r="R37" i="4"/>
  <c r="R31" i="4"/>
  <c r="D44" i="3"/>
  <c r="D46" i="3"/>
  <c r="D42" i="3"/>
  <c r="D40" i="3"/>
  <c r="D38" i="3"/>
  <c r="D36" i="3"/>
  <c r="D35" i="3"/>
  <c r="D34" i="3"/>
  <c r="D33" i="3"/>
  <c r="C46" i="3"/>
  <c r="C44" i="3"/>
  <c r="C42" i="3"/>
  <c r="C40" i="3"/>
  <c r="C38" i="3"/>
  <c r="C36" i="3"/>
  <c r="C35" i="3"/>
  <c r="C34" i="3"/>
  <c r="C33" i="3"/>
  <c r="D23" i="3"/>
  <c r="D21" i="3"/>
  <c r="D19" i="3"/>
  <c r="D17" i="3"/>
  <c r="D15" i="3"/>
  <c r="D13" i="3"/>
  <c r="D12" i="3"/>
  <c r="D11" i="3"/>
  <c r="D10" i="3"/>
  <c r="D9" i="3"/>
  <c r="C23" i="3"/>
  <c r="C21" i="3"/>
  <c r="C19" i="3"/>
  <c r="C17" i="3"/>
  <c r="C15" i="3"/>
  <c r="C13" i="3"/>
  <c r="C12" i="3"/>
  <c r="C11" i="3"/>
  <c r="C10" i="3"/>
  <c r="C9" i="3"/>
  <c r="AD21" i="3"/>
  <c r="AD15" i="3"/>
  <c r="AD44" i="3"/>
  <c r="AD46" i="3" s="1"/>
  <c r="AD38" i="3"/>
  <c r="E36" i="3" l="1"/>
  <c r="D85" i="2"/>
  <c r="D83" i="2"/>
  <c r="D82" i="2"/>
  <c r="D81" i="2"/>
  <c r="D80" i="2"/>
  <c r="D79" i="2"/>
  <c r="D77" i="2"/>
  <c r="D76" i="2"/>
  <c r="D75" i="2"/>
  <c r="D74" i="2"/>
  <c r="D73" i="2"/>
  <c r="D72" i="2"/>
  <c r="D70" i="2"/>
  <c r="D69" i="2"/>
  <c r="D68" i="2"/>
  <c r="D67" i="2"/>
  <c r="D66" i="2"/>
  <c r="D65" i="2"/>
  <c r="C85" i="2"/>
  <c r="C83" i="2"/>
  <c r="C82" i="2"/>
  <c r="C81" i="2"/>
  <c r="C80" i="2"/>
  <c r="C79" i="2"/>
  <c r="C77" i="2"/>
  <c r="C76" i="2"/>
  <c r="C75" i="2"/>
  <c r="C74" i="2"/>
  <c r="C73" i="2"/>
  <c r="C72" i="2"/>
  <c r="C70" i="2"/>
  <c r="C69" i="2"/>
  <c r="C68" i="2"/>
  <c r="C67" i="2"/>
  <c r="C66" i="2"/>
  <c r="C65" i="2"/>
  <c r="E66" i="2" l="1"/>
  <c r="AD71" i="2"/>
  <c r="D71" i="2" s="1"/>
  <c r="AD64" i="2"/>
  <c r="D64" i="2" s="1"/>
  <c r="AD17" i="2"/>
  <c r="AD10" i="2"/>
  <c r="D21" i="1"/>
  <c r="D46" i="1"/>
  <c r="D45" i="1"/>
  <c r="D43" i="1"/>
  <c r="D41" i="1"/>
  <c r="D40" i="1"/>
  <c r="D39" i="1"/>
  <c r="D37" i="1"/>
  <c r="D35" i="1"/>
  <c r="D34" i="1"/>
  <c r="D33" i="1"/>
  <c r="D32" i="1"/>
  <c r="D31" i="1"/>
  <c r="D29" i="1"/>
  <c r="D28" i="1"/>
  <c r="D27" i="1"/>
  <c r="D25" i="1"/>
  <c r="D24" i="1"/>
  <c r="D23" i="1"/>
  <c r="D22" i="1"/>
  <c r="D19" i="1"/>
  <c r="D18" i="1"/>
  <c r="D17" i="1"/>
  <c r="D16" i="1"/>
  <c r="D15" i="1"/>
  <c r="D14" i="1"/>
  <c r="D13" i="1"/>
  <c r="D11" i="1"/>
  <c r="D10" i="1"/>
  <c r="D9" i="1"/>
  <c r="C46" i="1"/>
  <c r="C45" i="1"/>
  <c r="C41" i="1"/>
  <c r="C40" i="1"/>
  <c r="C37" i="1"/>
  <c r="C35" i="1"/>
  <c r="C34" i="1"/>
  <c r="C33" i="1"/>
  <c r="C32" i="1"/>
  <c r="C31" i="1"/>
  <c r="C29" i="1"/>
  <c r="C28" i="1"/>
  <c r="C25" i="1"/>
  <c r="C24" i="1"/>
  <c r="C23" i="1"/>
  <c r="C19" i="1"/>
  <c r="C18" i="1"/>
  <c r="C17" i="1"/>
  <c r="C16" i="1"/>
  <c r="C15" i="1"/>
  <c r="C14" i="1"/>
  <c r="C13" i="1"/>
  <c r="C11" i="1"/>
  <c r="C10" i="1"/>
  <c r="R43" i="1"/>
  <c r="R39" i="1"/>
  <c r="R37" i="1"/>
  <c r="R27" i="1"/>
  <c r="R21" i="1"/>
  <c r="R13" i="1"/>
  <c r="R9" i="1"/>
  <c r="D49" i="6"/>
  <c r="C49" i="6"/>
  <c r="E51" i="6"/>
  <c r="D51" i="6"/>
  <c r="D50" i="6"/>
  <c r="D48" i="6"/>
  <c r="D47" i="6"/>
  <c r="D46" i="6"/>
  <c r="D44" i="6"/>
  <c r="D42" i="6"/>
  <c r="D41" i="6"/>
  <c r="D39" i="6"/>
  <c r="C51" i="6"/>
  <c r="C50" i="6"/>
  <c r="C48" i="6"/>
  <c r="C46" i="6"/>
  <c r="C44" i="6"/>
  <c r="C43" i="6"/>
  <c r="C42" i="6"/>
  <c r="C41" i="6"/>
  <c r="C39" i="6"/>
  <c r="AD17" i="6"/>
  <c r="D29" i="6"/>
  <c r="D28" i="6"/>
  <c r="D27" i="6"/>
  <c r="D26" i="6"/>
  <c r="D25" i="6"/>
  <c r="D24" i="6"/>
  <c r="D23" i="6"/>
  <c r="D22" i="6"/>
  <c r="D21" i="6"/>
  <c r="D20" i="6"/>
  <c r="D19" i="6"/>
  <c r="D17" i="6"/>
  <c r="D15" i="6"/>
  <c r="D14" i="6"/>
  <c r="D13" i="6"/>
  <c r="D12" i="6"/>
  <c r="D11" i="6"/>
  <c r="D9" i="6"/>
  <c r="C28" i="6"/>
  <c r="C27" i="6"/>
  <c r="C26" i="6"/>
  <c r="C25" i="6"/>
  <c r="C24" i="6"/>
  <c r="C23" i="6"/>
  <c r="C22" i="6"/>
  <c r="C21" i="6"/>
  <c r="C20" i="6"/>
  <c r="C19" i="6"/>
  <c r="C17" i="6"/>
  <c r="C15" i="6"/>
  <c r="C14" i="6"/>
  <c r="C13" i="6"/>
  <c r="C12" i="6"/>
  <c r="C11" i="6"/>
  <c r="A8" i="6"/>
  <c r="A9" i="6" s="1"/>
  <c r="A7" i="6"/>
  <c r="Z9" i="6"/>
  <c r="AD51" i="6"/>
  <c r="AD46" i="6"/>
  <c r="AD39" i="6"/>
  <c r="AD29" i="6"/>
  <c r="AD24" i="6"/>
  <c r="AD20" i="6"/>
  <c r="AD9" i="6"/>
  <c r="AD78" i="2" l="1"/>
  <c r="AD25" i="2"/>
  <c r="AD31" i="2" s="1"/>
  <c r="AD33" i="2" s="1"/>
  <c r="A10" i="6"/>
  <c r="A11" i="6" s="1"/>
  <c r="A12" i="6" s="1"/>
  <c r="A13" i="6" s="1"/>
  <c r="A14" i="6" s="1"/>
  <c r="A15" i="6" s="1"/>
  <c r="A16" i="6" s="1"/>
  <c r="A17" i="6" s="1"/>
  <c r="A18" i="6" s="1"/>
  <c r="A19" i="6" s="1"/>
  <c r="A20" i="6" s="1"/>
  <c r="A21" i="6" s="1"/>
  <c r="A22" i="6" s="1"/>
  <c r="A23" i="6" s="1"/>
  <c r="A24" i="6" s="1"/>
  <c r="A25" i="6" s="1"/>
  <c r="A26" i="6" s="1"/>
  <c r="A27" i="6" s="1"/>
  <c r="A28" i="6" s="1"/>
  <c r="A29" i="6" s="1"/>
  <c r="C9" i="6"/>
  <c r="AD84" i="2" l="1"/>
  <c r="D78" i="2"/>
  <c r="Q37" i="1"/>
  <c r="P37" i="1"/>
  <c r="O37" i="1"/>
  <c r="N37" i="1"/>
  <c r="M37" i="1"/>
  <c r="L37" i="1"/>
  <c r="K37" i="1"/>
  <c r="J37" i="1"/>
  <c r="I37" i="1"/>
  <c r="Q13" i="1"/>
  <c r="P13" i="1"/>
  <c r="O13" i="1"/>
  <c r="N13" i="1"/>
  <c r="M13" i="1"/>
  <c r="L13" i="1"/>
  <c r="K13" i="1"/>
  <c r="J13" i="1"/>
  <c r="I13" i="1"/>
  <c r="Q9" i="1"/>
  <c r="P9" i="1"/>
  <c r="P21" i="1" s="1"/>
  <c r="P27" i="1" s="1"/>
  <c r="O9" i="1"/>
  <c r="N9" i="1"/>
  <c r="M9" i="1"/>
  <c r="M21" i="1" s="1"/>
  <c r="M27" i="1" s="1"/>
  <c r="L9" i="1"/>
  <c r="L21" i="1" s="1"/>
  <c r="L27" i="1" s="1"/>
  <c r="K9" i="1"/>
  <c r="J9" i="1"/>
  <c r="J21" i="1" s="1"/>
  <c r="J27" i="1" s="1"/>
  <c r="I9" i="1"/>
  <c r="I21" i="1" s="1"/>
  <c r="I27" i="1" s="1"/>
  <c r="AD86" i="2" l="1"/>
  <c r="D86" i="2" s="1"/>
  <c r="D84" i="2"/>
  <c r="N21" i="1"/>
  <c r="C9" i="1"/>
  <c r="K21" i="1"/>
  <c r="K27" i="1" s="1"/>
  <c r="K39" i="1" s="1"/>
  <c r="K43" i="1" s="1"/>
  <c r="O21" i="1"/>
  <c r="O27" i="1" s="1"/>
  <c r="O39" i="1" s="1"/>
  <c r="O43" i="1" s="1"/>
  <c r="Q21" i="1"/>
  <c r="Q27" i="1" s="1"/>
  <c r="J39" i="1"/>
  <c r="J43" i="1" s="1"/>
  <c r="L39" i="1"/>
  <c r="L43" i="1" s="1"/>
  <c r="P39" i="1"/>
  <c r="P43" i="1" s="1"/>
  <c r="I39" i="1"/>
  <c r="I43" i="1" s="1"/>
  <c r="M39" i="1"/>
  <c r="M43" i="1" s="1"/>
  <c r="Q39" i="1"/>
  <c r="Q43" i="1" s="1"/>
  <c r="AC46" i="6"/>
  <c r="N27" i="1" l="1"/>
  <c r="C21" i="1"/>
  <c r="AC16" i="5"/>
  <c r="AC13" i="5"/>
  <c r="AC12" i="5"/>
  <c r="AC11" i="5"/>
  <c r="AC9" i="5"/>
  <c r="AC33" i="5"/>
  <c r="AC37" i="5" s="1"/>
  <c r="AB9" i="7"/>
  <c r="AB10" i="7"/>
  <c r="AB25" i="7"/>
  <c r="Q16" i="4"/>
  <c r="Q15" i="4"/>
  <c r="Q14" i="4"/>
  <c r="Q10" i="4"/>
  <c r="Q12" i="4" s="1"/>
  <c r="Q9" i="4"/>
  <c r="Q31" i="4"/>
  <c r="Q37" i="4"/>
  <c r="E12" i="3"/>
  <c r="AC19" i="3"/>
  <c r="E19" i="3" s="1"/>
  <c r="AC17" i="3"/>
  <c r="AC13" i="3"/>
  <c r="AC11" i="3"/>
  <c r="AC10" i="3"/>
  <c r="AC9" i="3"/>
  <c r="AC44" i="3"/>
  <c r="AC46" i="3" s="1"/>
  <c r="AC38" i="3"/>
  <c r="C27" i="1" l="1"/>
  <c r="N39" i="1"/>
  <c r="AB11" i="7"/>
  <c r="AC14" i="5"/>
  <c r="AC18" i="5" s="1"/>
  <c r="Q18" i="4"/>
  <c r="N43" i="1" l="1"/>
  <c r="C43" i="1" s="1"/>
  <c r="C39" i="1"/>
  <c r="AC21" i="3"/>
  <c r="AC15" i="3"/>
  <c r="AC29" i="2"/>
  <c r="AC28" i="2"/>
  <c r="AC27" i="2"/>
  <c r="AC23" i="2"/>
  <c r="AC21" i="2"/>
  <c r="AC20" i="2"/>
  <c r="AC19" i="2"/>
  <c r="AC18" i="2"/>
  <c r="AC15" i="2"/>
  <c r="AC14" i="2"/>
  <c r="AC13" i="2"/>
  <c r="AC12" i="2"/>
  <c r="AC11" i="2"/>
  <c r="AC71" i="2"/>
  <c r="AC64" i="2"/>
  <c r="E24" i="1"/>
  <c r="E11" i="1"/>
  <c r="AC51" i="6"/>
  <c r="AC39" i="6"/>
  <c r="AC29" i="6"/>
  <c r="AC17" i="6"/>
  <c r="AC24" i="6"/>
  <c r="AC20" i="6"/>
  <c r="AC9" i="6"/>
  <c r="AC78" i="2" l="1"/>
  <c r="AC84" i="2" s="1"/>
  <c r="AC86" i="2" s="1"/>
  <c r="AC10" i="2"/>
  <c r="AC17" i="2"/>
  <c r="AC25" i="2" s="1"/>
  <c r="AC31" i="2" s="1"/>
  <c r="AC33" i="2" s="1"/>
  <c r="E42" i="3" l="1"/>
  <c r="B9" i="8" l="1"/>
  <c r="AA12" i="7" l="1"/>
  <c r="AA10" i="7"/>
  <c r="AA9" i="7"/>
  <c r="AA27" i="7"/>
  <c r="AB16" i="5"/>
  <c r="AB13" i="5"/>
  <c r="AB12" i="5"/>
  <c r="AB11" i="5"/>
  <c r="AA11" i="7" l="1"/>
  <c r="AB33" i="5"/>
  <c r="AA13" i="7" l="1"/>
  <c r="AA29" i="6"/>
  <c r="P16" i="4"/>
  <c r="P15" i="4"/>
  <c r="P14" i="4"/>
  <c r="P10" i="4"/>
  <c r="P9" i="4"/>
  <c r="X23" i="3"/>
  <c r="AB19" i="3"/>
  <c r="AB12" i="3"/>
  <c r="AB11" i="3"/>
  <c r="AB10" i="3"/>
  <c r="AB9" i="3"/>
  <c r="AB29" i="2"/>
  <c r="AB28" i="2"/>
  <c r="AB27" i="2"/>
  <c r="AB23" i="2"/>
  <c r="AB20" i="2"/>
  <c r="AB19" i="2"/>
  <c r="AB18" i="2"/>
  <c r="AB15" i="2"/>
  <c r="AB14" i="2"/>
  <c r="AB13" i="2"/>
  <c r="AB12" i="2"/>
  <c r="AB11" i="2"/>
  <c r="P12" i="4" l="1"/>
  <c r="AB10" i="2"/>
  <c r="P31" i="4"/>
  <c r="AB38" i="3"/>
  <c r="AB15" i="3"/>
  <c r="AA51" i="6" l="1"/>
  <c r="Z29" i="6"/>
  <c r="C29" i="6" s="1"/>
  <c r="AB14" i="5" l="1"/>
  <c r="P37" i="4"/>
  <c r="P18" i="4"/>
  <c r="AB71" i="2"/>
  <c r="AB64" i="2"/>
  <c r="AB17" i="2"/>
  <c r="AB25" i="2" s="1"/>
  <c r="AB31" i="2" s="1"/>
  <c r="AB33" i="2" s="1"/>
  <c r="AB46" i="6"/>
  <c r="AB51" i="6"/>
  <c r="AB39" i="6"/>
  <c r="AB29" i="6"/>
  <c r="AB24" i="6"/>
  <c r="AB17" i="6" s="1"/>
  <c r="AB20" i="6"/>
  <c r="AB9" i="6"/>
  <c r="E10" i="1"/>
  <c r="AB78" i="2" l="1"/>
  <c r="AB84" i="2" s="1"/>
  <c r="AB86" i="2" s="1"/>
  <c r="M18" i="4" l="1"/>
  <c r="M12" i="4"/>
  <c r="M37" i="4"/>
  <c r="M31" i="4"/>
  <c r="E35" i="5" l="1"/>
  <c r="AA14" i="5"/>
  <c r="Z11" i="7"/>
  <c r="Z25" i="7"/>
  <c r="O37" i="4"/>
  <c r="O31" i="4"/>
  <c r="O18" i="4"/>
  <c r="O12" i="4"/>
  <c r="E13" i="3" l="1"/>
  <c r="AA38" i="3"/>
  <c r="AA15" i="3"/>
  <c r="E35" i="1"/>
  <c r="AA71" i="2"/>
  <c r="AA64" i="2"/>
  <c r="AA17" i="2"/>
  <c r="AA10" i="2"/>
  <c r="AA78" i="2" l="1"/>
  <c r="AA84" i="2" s="1"/>
  <c r="AA86" i="2" s="1"/>
  <c r="AC26" i="7" s="1"/>
  <c r="AC27" i="7" s="1"/>
  <c r="AA25" i="2"/>
  <c r="AA31" i="2" s="1"/>
  <c r="AA33" i="2" s="1"/>
  <c r="AC12" i="7" s="1"/>
  <c r="AC13" i="7" s="1"/>
  <c r="AA46" i="6"/>
  <c r="AA39" i="6"/>
  <c r="AA9" i="6"/>
  <c r="AA24" i="6"/>
  <c r="AA20" i="6"/>
  <c r="AA17" i="6" l="1"/>
  <c r="Y25" i="7" l="1"/>
  <c r="Y11" i="7"/>
  <c r="Z14" i="5"/>
  <c r="Z38" i="3" l="1"/>
  <c r="Z15" i="3"/>
  <c r="Z71" i="2"/>
  <c r="C71" i="2" s="1"/>
  <c r="Z64" i="2"/>
  <c r="C64" i="2" s="1"/>
  <c r="Z17" i="2"/>
  <c r="Z10" i="2"/>
  <c r="E29" i="1"/>
  <c r="Z51" i="6"/>
  <c r="Z46" i="6"/>
  <c r="Y46" i="6"/>
  <c r="X46" i="6"/>
  <c r="Z39" i="6"/>
  <c r="Z24" i="6"/>
  <c r="Z20" i="6"/>
  <c r="Z17" i="6" l="1"/>
  <c r="Z25" i="2"/>
  <c r="Z31" i="2" s="1"/>
  <c r="Z33" i="2" s="1"/>
  <c r="Z78" i="2"/>
  <c r="Z84" i="2" l="1"/>
  <c r="C78" i="2"/>
  <c r="Z86" i="2" l="1"/>
  <c r="C84" i="2"/>
  <c r="E84" i="2" s="1"/>
  <c r="X25" i="7"/>
  <c r="X11" i="7"/>
  <c r="Q37" i="5"/>
  <c r="R37" i="5"/>
  <c r="S33" i="5"/>
  <c r="S37" i="5" s="1"/>
  <c r="T33" i="5"/>
  <c r="T37" i="5" s="1"/>
  <c r="U33" i="5"/>
  <c r="U37" i="5" s="1"/>
  <c r="V33" i="5"/>
  <c r="V37" i="5" s="1"/>
  <c r="W33" i="5"/>
  <c r="W37" i="5" s="1"/>
  <c r="X33" i="5"/>
  <c r="X37" i="5" s="1"/>
  <c r="Y33" i="5"/>
  <c r="R14" i="5"/>
  <c r="S14" i="5"/>
  <c r="T14" i="5"/>
  <c r="U14" i="5"/>
  <c r="U18" i="5" s="1"/>
  <c r="V14" i="5"/>
  <c r="V18" i="5" s="1"/>
  <c r="W14" i="5"/>
  <c r="W18" i="5" s="1"/>
  <c r="X14" i="5"/>
  <c r="Y14" i="5"/>
  <c r="AB26" i="7" l="1"/>
  <c r="C86" i="2"/>
  <c r="Y38" i="3"/>
  <c r="AB27" i="7" l="1"/>
  <c r="AB12" i="7"/>
  <c r="Y15" i="3"/>
  <c r="E15" i="3" s="1"/>
  <c r="AB13" i="7" l="1"/>
  <c r="E81" i="2"/>
  <c r="Q71" i="2"/>
  <c r="R71" i="2"/>
  <c r="S71" i="2"/>
  <c r="T71" i="2"/>
  <c r="U71" i="2"/>
  <c r="V71" i="2"/>
  <c r="W71" i="2"/>
  <c r="X71" i="2"/>
  <c r="Q64" i="2"/>
  <c r="R64" i="2"/>
  <c r="S64" i="2"/>
  <c r="T64" i="2"/>
  <c r="U64" i="2"/>
  <c r="V64" i="2"/>
  <c r="W64" i="2"/>
  <c r="X64" i="2"/>
  <c r="Y71" i="2"/>
  <c r="Y64" i="2"/>
  <c r="I17" i="2"/>
  <c r="J17" i="2"/>
  <c r="K17" i="2"/>
  <c r="L17" i="2"/>
  <c r="M17" i="2"/>
  <c r="N17" i="2"/>
  <c r="O17" i="2"/>
  <c r="P17" i="2"/>
  <c r="Q17" i="2"/>
  <c r="R17" i="2"/>
  <c r="S17" i="2"/>
  <c r="T17" i="2"/>
  <c r="U17" i="2"/>
  <c r="V17" i="2"/>
  <c r="W17" i="2"/>
  <c r="I10" i="2"/>
  <c r="J10" i="2"/>
  <c r="K10" i="2"/>
  <c r="L10" i="2"/>
  <c r="M10" i="2"/>
  <c r="N10" i="2"/>
  <c r="O10" i="2"/>
  <c r="P10" i="2"/>
  <c r="Q10" i="2"/>
  <c r="R10" i="2"/>
  <c r="S10" i="2"/>
  <c r="T10" i="2"/>
  <c r="U10" i="2"/>
  <c r="V10" i="2"/>
  <c r="W10" i="2"/>
  <c r="X10" i="2"/>
  <c r="X17" i="2"/>
  <c r="Y17" i="2"/>
  <c r="Y10" i="2"/>
  <c r="Y25" i="2" l="1"/>
  <c r="X25" i="2"/>
  <c r="P25" i="2"/>
  <c r="U25" i="2"/>
  <c r="Q25" i="2"/>
  <c r="M25" i="2"/>
  <c r="I25" i="2"/>
  <c r="S78" i="2"/>
  <c r="T25" i="2"/>
  <c r="L25" i="2"/>
  <c r="V78" i="2"/>
  <c r="R78" i="2"/>
  <c r="W78" i="2"/>
  <c r="W25" i="2"/>
  <c r="S25" i="2"/>
  <c r="O25" i="2"/>
  <c r="K25" i="2"/>
  <c r="U78" i="2"/>
  <c r="Q78" i="2"/>
  <c r="V25" i="2"/>
  <c r="R25" i="2"/>
  <c r="N25" i="2"/>
  <c r="J25" i="2"/>
  <c r="X78" i="2"/>
  <c r="T78" i="2"/>
  <c r="Y78" i="2"/>
  <c r="AB40" i="3" l="1"/>
  <c r="J24" i="6"/>
  <c r="K24" i="6"/>
  <c r="L24" i="6"/>
  <c r="M24" i="6"/>
  <c r="N24" i="6"/>
  <c r="O24" i="6"/>
  <c r="P24" i="6"/>
  <c r="Q24" i="6"/>
  <c r="R24" i="6"/>
  <c r="S24" i="6"/>
  <c r="T24" i="6"/>
  <c r="U24" i="6"/>
  <c r="V24" i="6"/>
  <c r="W24" i="6"/>
  <c r="X24" i="6"/>
  <c r="Y24" i="6"/>
  <c r="I24" i="6"/>
  <c r="J20" i="6"/>
  <c r="K20" i="6"/>
  <c r="L20" i="6"/>
  <c r="M20" i="6"/>
  <c r="N20" i="6"/>
  <c r="N17" i="6" s="1"/>
  <c r="O20" i="6"/>
  <c r="P20" i="6"/>
  <c r="Q20" i="6"/>
  <c r="R20" i="6"/>
  <c r="R17" i="6" s="1"/>
  <c r="S20" i="6"/>
  <c r="S17" i="6" s="1"/>
  <c r="T20" i="6"/>
  <c r="U20" i="6"/>
  <c r="V20" i="6"/>
  <c r="V17" i="6" s="1"/>
  <c r="W20" i="6"/>
  <c r="W17" i="6" s="1"/>
  <c r="X20" i="6"/>
  <c r="Y20" i="6"/>
  <c r="I20" i="6"/>
  <c r="I17" i="6" s="1"/>
  <c r="O17" i="6" l="1"/>
  <c r="K17" i="6"/>
  <c r="AB44" i="3"/>
  <c r="AB17" i="3"/>
  <c r="J17" i="6"/>
  <c r="X17" i="6"/>
  <c r="T17" i="6"/>
  <c r="P17" i="6"/>
  <c r="L17" i="6"/>
  <c r="Y17" i="6"/>
  <c r="U17" i="6"/>
  <c r="Q17" i="6"/>
  <c r="M17" i="6"/>
  <c r="Y28" i="5"/>
  <c r="N12" i="4"/>
  <c r="N18" i="4"/>
  <c r="N31" i="4"/>
  <c r="N37" i="4"/>
  <c r="Y31" i="2"/>
  <c r="Y33" i="2" s="1"/>
  <c r="Y84" i="2"/>
  <c r="Y86" i="2" s="1"/>
  <c r="Y39" i="6"/>
  <c r="Y9" i="6"/>
  <c r="Y29" i="6"/>
  <c r="Y37" i="5" l="1"/>
  <c r="Z28" i="5" s="1"/>
  <c r="Z37" i="5" s="1"/>
  <c r="AA28" i="5" s="1"/>
  <c r="AB21" i="3"/>
  <c r="AB46" i="3"/>
  <c r="AA37" i="5"/>
  <c r="AB28" i="5" s="1"/>
  <c r="AB37" i="5" s="1"/>
  <c r="E24" i="6"/>
  <c r="AB23" i="3" l="1"/>
  <c r="E23" i="3" s="1"/>
  <c r="E20" i="6"/>
  <c r="X31" i="2"/>
  <c r="X33" i="2" s="1"/>
  <c r="Z12" i="7" s="1"/>
  <c r="Z13" i="7" l="1"/>
  <c r="E14" i="5" l="1"/>
  <c r="E29" i="6"/>
  <c r="W11" i="7"/>
  <c r="W25" i="7"/>
  <c r="X9" i="5"/>
  <c r="X18" i="5" s="1"/>
  <c r="Y9" i="5" s="1"/>
  <c r="X9" i="6"/>
  <c r="X29" i="6"/>
  <c r="X39" i="6"/>
  <c r="K12" i="4"/>
  <c r="L12" i="4"/>
  <c r="Y18" i="5" l="1"/>
  <c r="Z9" i="5" s="1"/>
  <c r="Z18" i="5" s="1"/>
  <c r="AA9" i="5" s="1"/>
  <c r="AA18" i="5" s="1"/>
  <c r="AB9" i="5" s="1"/>
  <c r="AB18" i="5" s="1"/>
  <c r="X84" i="2"/>
  <c r="X86" i="2" s="1"/>
  <c r="Z26" i="7" s="1"/>
  <c r="K18" i="4"/>
  <c r="L37" i="4"/>
  <c r="L18" i="4"/>
  <c r="Z27" i="7" l="1"/>
  <c r="E15" i="4"/>
  <c r="E16" i="4"/>
  <c r="J18" i="4"/>
  <c r="I18" i="4"/>
  <c r="J12" i="4" l="1"/>
  <c r="I12" i="4"/>
  <c r="J37" i="4" l="1"/>
  <c r="K37" i="4"/>
  <c r="I37" i="4"/>
  <c r="J31" i="4"/>
  <c r="K31" i="4"/>
  <c r="I31" i="4"/>
  <c r="Q11" i="7" l="1"/>
  <c r="R11" i="7"/>
  <c r="S11" i="7"/>
  <c r="T11" i="7"/>
  <c r="U11" i="7"/>
  <c r="V11" i="7"/>
  <c r="Q25" i="7" l="1"/>
  <c r="Q27" i="7" s="1"/>
  <c r="R25" i="7"/>
  <c r="R27" i="7" s="1"/>
  <c r="S25" i="7"/>
  <c r="T25" i="7"/>
  <c r="U25" i="7"/>
  <c r="V25" i="7"/>
  <c r="P25" i="7"/>
  <c r="P27" i="7" s="1"/>
  <c r="I11" i="7" l="1"/>
  <c r="I13" i="7" s="1"/>
  <c r="J11" i="7"/>
  <c r="J13" i="7" s="1"/>
  <c r="K11" i="7"/>
  <c r="L11" i="7"/>
  <c r="M11" i="7"/>
  <c r="N11" i="7"/>
  <c r="O11" i="7"/>
  <c r="P11" i="7"/>
  <c r="H11" i="7"/>
  <c r="H13" i="7" s="1"/>
  <c r="D10" i="7"/>
  <c r="D9" i="7"/>
  <c r="R84" i="2"/>
  <c r="R86" i="2" s="1"/>
  <c r="E68" i="2"/>
  <c r="E69" i="2"/>
  <c r="E82" i="2"/>
  <c r="E80" i="2"/>
  <c r="E73" i="2"/>
  <c r="E74" i="2"/>
  <c r="E76" i="2"/>
  <c r="E72" i="2"/>
  <c r="W31" i="2"/>
  <c r="W33" i="2" s="1"/>
  <c r="Y12" i="7" s="1"/>
  <c r="D24" i="7"/>
  <c r="D23" i="7"/>
  <c r="Y13" i="7" l="1"/>
  <c r="V31" i="2"/>
  <c r="V33" i="2" s="1"/>
  <c r="X12" i="7" s="1"/>
  <c r="X13" i="7" s="1"/>
  <c r="R31" i="2"/>
  <c r="R33" i="2" s="1"/>
  <c r="N31" i="2"/>
  <c r="N33" i="2" s="1"/>
  <c r="J31" i="2"/>
  <c r="J33" i="2" s="1"/>
  <c r="S31" i="2"/>
  <c r="S33" i="2" s="1"/>
  <c r="S84" i="2"/>
  <c r="S86" i="2" s="1"/>
  <c r="U84" i="2"/>
  <c r="U86" i="2" s="1"/>
  <c r="Q84" i="2"/>
  <c r="Q86" i="2" s="1"/>
  <c r="E71" i="2"/>
  <c r="T84" i="2"/>
  <c r="T86" i="2" s="1"/>
  <c r="W84" i="2"/>
  <c r="W86" i="2" s="1"/>
  <c r="V84" i="2"/>
  <c r="V86" i="2" s="1"/>
  <c r="O31" i="2"/>
  <c r="O33" i="2" s="1"/>
  <c r="K31" i="2"/>
  <c r="K33" i="2" s="1"/>
  <c r="U31" i="2"/>
  <c r="U33" i="2" s="1"/>
  <c r="Q31" i="2"/>
  <c r="Q33" i="2" s="1"/>
  <c r="M31" i="2"/>
  <c r="M33" i="2" s="1"/>
  <c r="I31" i="2"/>
  <c r="I33" i="2" s="1"/>
  <c r="T31" i="2"/>
  <c r="T33" i="2" s="1"/>
  <c r="P31" i="2"/>
  <c r="P33" i="2" s="1"/>
  <c r="L31" i="2"/>
  <c r="L33" i="2" s="1"/>
  <c r="D25" i="7"/>
  <c r="Y26" i="7" l="1"/>
  <c r="Y27" i="7" s="1"/>
  <c r="X26" i="7"/>
  <c r="X27" i="7" s="1"/>
  <c r="U26" i="7"/>
  <c r="U27" i="7" s="1"/>
  <c r="K12" i="7"/>
  <c r="K13" i="7" s="1"/>
  <c r="N12" i="7"/>
  <c r="N13" i="7" s="1"/>
  <c r="O12" i="7"/>
  <c r="O13" i="7" s="1"/>
  <c r="W12" i="7"/>
  <c r="S26" i="7"/>
  <c r="S27" i="7" s="1"/>
  <c r="W26" i="7"/>
  <c r="M12" i="7"/>
  <c r="M13" i="7" s="1"/>
  <c r="L12" i="7"/>
  <c r="L13" i="7" s="1"/>
  <c r="V12" i="7"/>
  <c r="V13" i="7" s="1"/>
  <c r="T12" i="7"/>
  <c r="T13" i="7" s="1"/>
  <c r="U12" i="7"/>
  <c r="R12" i="7"/>
  <c r="R13" i="7" s="1"/>
  <c r="S12" i="7"/>
  <c r="S13" i="7" s="1"/>
  <c r="Q12" i="7"/>
  <c r="Q13" i="7" s="1"/>
  <c r="V26" i="7"/>
  <c r="V27" i="7" s="1"/>
  <c r="P12" i="7"/>
  <c r="P13" i="7" s="1"/>
  <c r="T26" i="7"/>
  <c r="T27" i="7" s="1"/>
  <c r="E78" i="2"/>
  <c r="J29" i="6"/>
  <c r="K29" i="6"/>
  <c r="L29" i="6"/>
  <c r="M29" i="6"/>
  <c r="N29" i="6"/>
  <c r="O29" i="6"/>
  <c r="P29" i="6"/>
  <c r="Q29" i="6"/>
  <c r="R29" i="6"/>
  <c r="S29" i="6"/>
  <c r="T29" i="6"/>
  <c r="U29" i="6"/>
  <c r="V29" i="6"/>
  <c r="W29" i="6"/>
  <c r="I29" i="6"/>
  <c r="J9" i="6"/>
  <c r="K9" i="6"/>
  <c r="L9" i="6"/>
  <c r="M9" i="6"/>
  <c r="N9" i="6"/>
  <c r="O9" i="6"/>
  <c r="P9" i="6"/>
  <c r="Q9" i="6"/>
  <c r="R9" i="6"/>
  <c r="S9" i="6"/>
  <c r="T9" i="6"/>
  <c r="U9" i="6"/>
  <c r="V9" i="6"/>
  <c r="W9" i="6"/>
  <c r="I9" i="6"/>
  <c r="R39" i="6"/>
  <c r="S39" i="6"/>
  <c r="T39" i="6"/>
  <c r="U39" i="6"/>
  <c r="V39" i="6"/>
  <c r="W39" i="6"/>
  <c r="Q39" i="6"/>
  <c r="E48" i="6"/>
  <c r="E46" i="6"/>
  <c r="E44" i="6"/>
  <c r="E42" i="6"/>
  <c r="E41" i="6"/>
  <c r="E39" i="6"/>
  <c r="E23" i="6"/>
  <c r="E25" i="6"/>
  <c r="E22" i="6"/>
  <c r="E21" i="6"/>
  <c r="E19" i="6"/>
  <c r="E17" i="6"/>
  <c r="E15" i="6"/>
  <c r="E13" i="6"/>
  <c r="E12" i="6"/>
  <c r="E11" i="6"/>
  <c r="E9" i="6"/>
  <c r="W13" i="7" l="1"/>
  <c r="W27" i="7"/>
  <c r="D27" i="7" s="1"/>
  <c r="D26" i="7"/>
  <c r="U13" i="7"/>
  <c r="D12" i="7"/>
  <c r="D11" i="7"/>
  <c r="D13" i="7"/>
  <c r="E86" i="2"/>
  <c r="E28" i="5"/>
  <c r="E37" i="5"/>
  <c r="E32" i="5" l="1"/>
  <c r="E31" i="5"/>
  <c r="E30" i="5"/>
  <c r="E18" i="5"/>
  <c r="E9" i="5"/>
  <c r="E13" i="5"/>
  <c r="E12" i="5"/>
  <c r="E11" i="5"/>
  <c r="E14" i="4" l="1"/>
  <c r="E10" i="4"/>
  <c r="E9" i="4"/>
  <c r="E37" i="4"/>
  <c r="E34" i="4"/>
  <c r="E35" i="4"/>
  <c r="E33" i="4"/>
  <c r="E29" i="4"/>
  <c r="E28" i="4"/>
  <c r="E31" i="4"/>
  <c r="E18" i="4"/>
  <c r="E12" i="4"/>
  <c r="E38" i="3"/>
  <c r="E34" i="3" l="1"/>
  <c r="E33" i="3"/>
  <c r="E10" i="3"/>
  <c r="E9" i="3"/>
  <c r="E21" i="3"/>
  <c r="E17" i="3"/>
  <c r="E67" i="2"/>
  <c r="E65" i="2"/>
  <c r="E45" i="1"/>
  <c r="E41" i="1"/>
  <c r="E32" i="1"/>
  <c r="E34" i="1"/>
  <c r="E31" i="1"/>
  <c r="E37" i="1"/>
  <c r="E25" i="1"/>
  <c r="E23" i="1"/>
  <c r="E14" i="1"/>
  <c r="E15" i="1"/>
  <c r="E16" i="1"/>
  <c r="E17" i="1"/>
  <c r="E18" i="1"/>
  <c r="E19" i="1"/>
  <c r="E9" i="1"/>
  <c r="E13" i="1" l="1"/>
  <c r="E64" i="2"/>
  <c r="E21" i="1" l="1"/>
  <c r="L31" i="4"/>
  <c r="E27" i="1" l="1"/>
  <c r="E43" i="1" l="1"/>
  <c r="E39" i="1"/>
</calcChain>
</file>

<file path=xl/sharedStrings.xml><?xml version="1.0" encoding="utf-8"?>
<sst xmlns="http://schemas.openxmlformats.org/spreadsheetml/2006/main" count="1027" uniqueCount="127">
  <si>
    <t>US$ million</t>
  </si>
  <si>
    <t xml:space="preserve">COMPREHENSIVE INCOME STATEMENT </t>
  </si>
  <si>
    <t>Operating Income</t>
  </si>
  <si>
    <t>Sales</t>
  </si>
  <si>
    <t>Other Operating Income</t>
  </si>
  <si>
    <t>Raw Material and Consumables Used</t>
  </si>
  <si>
    <t>Transmission Tolls</t>
  </si>
  <si>
    <t>Energy and Capacity Purchases</t>
  </si>
  <si>
    <t>Gas Consumption</t>
  </si>
  <si>
    <t>Diesel Consumption</t>
  </si>
  <si>
    <t>Coal Consumption</t>
  </si>
  <si>
    <t>Other Operating  Expenses</t>
  </si>
  <si>
    <t>Gross Profit</t>
  </si>
  <si>
    <t>Personnel Expenses</t>
  </si>
  <si>
    <t>Other Expenses, by Nature</t>
  </si>
  <si>
    <t>Depreciation and Amortization Expenses</t>
  </si>
  <si>
    <t>Operating Income (Loss)</t>
  </si>
  <si>
    <t>EBITDA</t>
  </si>
  <si>
    <t>Financial Income</t>
  </si>
  <si>
    <t>Financial Expenses</t>
  </si>
  <si>
    <t>Exchange rate Differences</t>
  </si>
  <si>
    <t>Profit (Loss) of Companies Accounted for Using the Equity Method</t>
  </si>
  <si>
    <t>Other Profit (Loss)</t>
  </si>
  <si>
    <t>Non-Operating Income</t>
  </si>
  <si>
    <t>Profit (Loss) Before Taxes</t>
  </si>
  <si>
    <t>Income Tax Expense</t>
  </si>
  <si>
    <t>Profit (Loss) After Tax</t>
  </si>
  <si>
    <t>Profit (Loss) Controller</t>
  </si>
  <si>
    <t>Profit (Loss) Atributtable to Minority Interest</t>
  </si>
  <si>
    <t>Var (%)</t>
  </si>
  <si>
    <t>CHILE</t>
  </si>
  <si>
    <t>Regulated Customers Sales</t>
  </si>
  <si>
    <t>Nonregulated Customers Sales</t>
  </si>
  <si>
    <t>Energy and Capacity Sales</t>
  </si>
  <si>
    <t>VAR %</t>
  </si>
  <si>
    <t>ENERGY SALES</t>
  </si>
  <si>
    <t>PERÚ</t>
  </si>
  <si>
    <t>Sales to Other Generators</t>
  </si>
  <si>
    <t>NON-OPERATING INCOME</t>
  </si>
  <si>
    <t>BALANCE SHEET (MAIN ACCOUNTS)</t>
  </si>
  <si>
    <t>Current assets</t>
  </si>
  <si>
    <t>Non-current assets</t>
  </si>
  <si>
    <t xml:space="preserve">Current liabilities </t>
  </si>
  <si>
    <t xml:space="preserve">Non-current liabilities </t>
  </si>
  <si>
    <t xml:space="preserve">Total net equity </t>
  </si>
  <si>
    <t>TOTAL LIABILITIES AND NET EQUITY</t>
  </si>
  <si>
    <t>TOTAL ASSETS</t>
  </si>
  <si>
    <t>CONSOLIDATED</t>
  </si>
  <si>
    <t>3Q17</t>
  </si>
  <si>
    <t>2Q17</t>
  </si>
  <si>
    <t>1Q17</t>
  </si>
  <si>
    <t>4Q16</t>
  </si>
  <si>
    <t>3Q16</t>
  </si>
  <si>
    <t>2Q16</t>
  </si>
  <si>
    <t>1Q16</t>
  </si>
  <si>
    <t>1Q14</t>
  </si>
  <si>
    <t>2Q14</t>
  </si>
  <si>
    <t>3Q14</t>
  </si>
  <si>
    <t>4Q14</t>
  </si>
  <si>
    <t>1Q15</t>
  </si>
  <si>
    <t>2Q15</t>
  </si>
  <si>
    <t>3Q15</t>
  </si>
  <si>
    <t>4Q15</t>
  </si>
  <si>
    <t xml:space="preserve">Cash Equivalents, Beg. of Period </t>
  </si>
  <si>
    <t xml:space="preserve">Net cash flows provided by (used in) operating activities </t>
  </si>
  <si>
    <t xml:space="preserve">Net cash flows provided by (used in) financing activities </t>
  </si>
  <si>
    <t>Net Cash Flows for the Period</t>
  </si>
  <si>
    <t>Effects of exchange rate changes on cash and cash equivalents</t>
  </si>
  <si>
    <t xml:space="preserve">Cash Equivalents, End of Period </t>
  </si>
  <si>
    <t>-</t>
  </si>
  <si>
    <t>Net cash flows provided by (used in) investing activities</t>
  </si>
  <si>
    <t>Physical Sales</t>
  </si>
  <si>
    <t>(GWh)</t>
  </si>
  <si>
    <t>Total Physical Sales</t>
  </si>
  <si>
    <t>Regulated Customers</t>
  </si>
  <si>
    <t>Unregulated Customers</t>
  </si>
  <si>
    <t>Sales to the Spot Market</t>
  </si>
  <si>
    <t>Capacity Sales</t>
  </si>
  <si>
    <t>Total Generation</t>
  </si>
  <si>
    <t>Hydraulic</t>
  </si>
  <si>
    <t>Thermoelectric - Gas</t>
  </si>
  <si>
    <t>Spot Market Purchases</t>
  </si>
  <si>
    <t>Sales - Purchases to the Spot Market</t>
  </si>
  <si>
    <t>Customers Under Contract</t>
  </si>
  <si>
    <t>Gross Financial Debt</t>
  </si>
  <si>
    <t>Financial Investments</t>
  </si>
  <si>
    <t>Net Debt</t>
  </si>
  <si>
    <t>EBITDA LTM</t>
  </si>
  <si>
    <t>MAIN DEBT ITEMS</t>
  </si>
  <si>
    <t>PHYSICAL SALES</t>
  </si>
  <si>
    <t>OPERATING INCOME</t>
  </si>
  <si>
    <t>RAW MATERIALS AND CONSUMABLES USED</t>
  </si>
  <si>
    <t>GROSS PROFIT</t>
  </si>
  <si>
    <t>Other Operating Expenses</t>
  </si>
  <si>
    <t>Other Expenses, by nature</t>
  </si>
  <si>
    <t>OPERATING INCOME (LOSS)</t>
  </si>
  <si>
    <t>Net Debt/EBITDA LTM (x)</t>
  </si>
  <si>
    <t>Non-current liabilities</t>
  </si>
  <si>
    <t>Total equity</t>
  </si>
  <si>
    <t>4Q17</t>
  </si>
  <si>
    <t xml:space="preserve">Colbun </t>
  </si>
  <si>
    <t xml:space="preserve">Fenix </t>
  </si>
  <si>
    <t>1Q18</t>
  </si>
  <si>
    <t>Thermal</t>
  </si>
  <si>
    <t xml:space="preserve">    Gas</t>
  </si>
  <si>
    <t xml:space="preserve">    Diesel</t>
  </si>
  <si>
    <t xml:space="preserve">    Coal</t>
  </si>
  <si>
    <t>REVS</t>
  </si>
  <si>
    <t xml:space="preserve">    Solar</t>
  </si>
  <si>
    <t xml:space="preserve">    Wind Farm - Punta Palmeras</t>
  </si>
  <si>
    <t>2Q18</t>
  </si>
  <si>
    <t>3Q18</t>
  </si>
  <si>
    <t>4Q18</t>
  </si>
  <si>
    <t>CASH FLOW</t>
  </si>
  <si>
    <t>1Q19</t>
  </si>
  <si>
    <t>AMORTIZATION PROFILE (*)</t>
  </si>
  <si>
    <t>Gross Financial Debt*</t>
  </si>
  <si>
    <t>* Includes capitalised expenses.</t>
  </si>
  <si>
    <t>2Q19</t>
  </si>
  <si>
    <t>2Q19 (*)</t>
  </si>
  <si>
    <t>|</t>
  </si>
  <si>
    <t>(*) Regarding Fenix’s Financial Statements, for the second quarter of 2019 the following is worth to mention: 
(1) A reclassification of toll’s revenues and costs was made at Fenix subsidiary level in Peru, presenting the net effect of these items. Prior to that date, income and costs were presented separately in the Income Statement.
(2) Recognition of gas distribution contract with Calidda as a financial lease from January 2019 onwards</t>
  </si>
  <si>
    <t>(*) Regarding Fenix’s Financial Statements, for the second quarter of 2019 the following is worth to mention the recognition of gas distribution contract with Calidda as a financial lease from January 2019 onwards</t>
  </si>
  <si>
    <t>CHILE (GX + TX)</t>
  </si>
  <si>
    <t>CHILE TX</t>
  </si>
  <si>
    <t>CHILE GX</t>
  </si>
  <si>
    <t>(*) Leasings, accrued interests and activated expenses are not included.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</si>
</sst>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1" formatCode="_ * #,##0_ ;_ * \-#,##0_ ;_ * &quot;-&quot;_ ;_ @_ "/>
    <numFmt numFmtId="43" formatCode="_ * #,##0.00_ ;_ * \-#,##0.00_ ;_ * &quot;-&quot;??_ ;_ @_ "/>
    <numFmt numFmtId="164" formatCode="_-* #,##0.00_-;\-* #,##0.00_-;_-* &quot;-&quot;??_-;_-@_-"/>
    <numFmt numFmtId="165" formatCode="0.0"/>
    <numFmt numFmtId="166" formatCode="_(* #,##0.0_);_(* \(#,##0.0\);_(* &quot;-&quot;??_);_(@_)"/>
    <numFmt numFmtId="167" formatCode="_ * #,##0.0_ ;_ * \-#,##0.0_ ;_ * &quot;-&quot;_ ;_ @_ "/>
    <numFmt numFmtId="168" formatCode="_(* #,##0_);_(* \(#,##0\);_(* &quot;-&quot;??_);_(@_)"/>
    <numFmt numFmtId="169" formatCode="_(* #,##0.00_);_(* \(#,##0.00\);_(* &quot;-&quot;??_);_(@_)"/>
    <numFmt numFmtId="170" formatCode="0%_);\(0%\)"/>
    <numFmt numFmtId="171" formatCode="0.000"/>
    <numFmt numFmtId="172" formatCode="_ * #,##0.0_ ;_ * \-#,##0.0_ ;_ * &quot;-&quot;?_ ;_ @_ "/>
  </numFmts>
  <fonts count="11" x14ac:knownFonts="1">
    <font>
      <sz val="11"/>
      <color theme="1"/>
      <name val="Calibri"/>
      <family val="2"/>
      <scheme val="minor"/>
    </font>
    <font>
      <sz val="11"/>
      <color theme="1"/>
      <name val="Calibri"/>
      <family val="2"/>
      <scheme val="minor"/>
    </font>
    <font>
      <sz val="10"/>
      <color theme="1" tint="0.34998626667073579"/>
      <name val="Trebuchet MS"/>
      <family val="2"/>
    </font>
    <font>
      <sz val="8"/>
      <color theme="1"/>
      <name val="Arial"/>
      <family val="2"/>
    </font>
    <font>
      <b/>
      <sz val="10"/>
      <color theme="0"/>
      <name val="Trebuchet MS"/>
      <family val="2"/>
    </font>
    <font>
      <b/>
      <sz val="18"/>
      <color theme="0"/>
      <name val="Calibri"/>
      <family val="2"/>
      <scheme val="minor"/>
    </font>
    <font>
      <b/>
      <sz val="10"/>
      <color theme="1" tint="0.34998626667073579"/>
      <name val="Trebuchet MS"/>
      <family val="2"/>
    </font>
    <font>
      <sz val="12"/>
      <name val="Times New Roman"/>
      <family val="1"/>
    </font>
    <font>
      <sz val="10"/>
      <name val="Arial"/>
      <family val="2"/>
    </font>
    <font>
      <sz val="10"/>
      <color theme="1"/>
      <name val="Trebuchet MS"/>
      <family val="2"/>
    </font>
    <font>
      <sz val="10"/>
      <color theme="0" tint="-0.249977111117893"/>
      <name val="Trebuchet MS"/>
      <family val="2"/>
    </font>
  </fonts>
  <fills count="8">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3"/>
        <bgColor indexed="64"/>
      </patternFill>
    </fill>
    <fill>
      <patternFill patternType="solid">
        <fgColor theme="4"/>
        <bgColor indexed="64"/>
      </patternFill>
    </fill>
    <fill>
      <patternFill patternType="solid">
        <fgColor rgb="FF00B050"/>
        <bgColor indexed="64"/>
      </patternFill>
    </fill>
    <fill>
      <patternFill patternType="solid">
        <fgColor theme="0" tint="-4.9989318521683403E-2"/>
        <bgColor indexed="64"/>
      </patternFill>
    </fill>
  </fills>
  <borders count="1">
    <border>
      <left/>
      <right/>
      <top/>
      <bottom/>
      <diagonal/>
    </border>
  </borders>
  <cellStyleXfs count="9">
    <xf numFmtId="0" fontId="0" fillId="0" borderId="0"/>
    <xf numFmtId="41" fontId="1" fillId="0" borderId="0" applyFont="0" applyFill="0" applyBorder="0" applyAlignment="0" applyProtection="0"/>
    <xf numFmtId="9" fontId="1" fillId="0" borderId="0" applyFont="0" applyFill="0" applyBorder="0" applyAlignment="0" applyProtection="0"/>
    <xf numFmtId="0" fontId="3" fillId="0" borderId="0"/>
    <xf numFmtId="164" fontId="8" fillId="0" borderId="0" applyFont="0" applyFill="0" applyBorder="0" applyAlignment="0" applyProtection="0"/>
    <xf numFmtId="164" fontId="1" fillId="0" borderId="0" applyFont="0" applyFill="0" applyBorder="0" applyAlignment="0" applyProtection="0"/>
    <xf numFmtId="168" fontId="7" fillId="0" borderId="0" applyFont="0" applyFill="0" applyBorder="0" applyAlignment="0" applyProtection="0"/>
    <xf numFmtId="0" fontId="8" fillId="0" borderId="0"/>
    <xf numFmtId="164" fontId="8" fillId="0" borderId="0" applyFont="0" applyFill="0" applyBorder="0" applyAlignment="0" applyProtection="0"/>
  </cellStyleXfs>
  <cellXfs count="89">
    <xf numFmtId="0" fontId="0" fillId="0" borderId="0" xfId="0"/>
    <xf numFmtId="0" fontId="2" fillId="3" borderId="0" xfId="0" applyFont="1" applyFill="1"/>
    <xf numFmtId="0" fontId="4" fillId="5" borderId="0" xfId="0" applyFont="1" applyFill="1" applyAlignment="1">
      <alignment horizontal="left"/>
    </xf>
    <xf numFmtId="0" fontId="4" fillId="4" borderId="0" xfId="0" applyFont="1" applyFill="1"/>
    <xf numFmtId="17" fontId="2" fillId="2" borderId="0" xfId="0" applyNumberFormat="1" applyFont="1" applyFill="1"/>
    <xf numFmtId="0" fontId="2" fillId="2" borderId="0" xfId="0" applyFont="1" applyFill="1"/>
    <xf numFmtId="0" fontId="4" fillId="5" borderId="0" xfId="0" applyFont="1" applyFill="1"/>
    <xf numFmtId="4" fontId="2" fillId="2" borderId="0" xfId="0" applyNumberFormat="1" applyFont="1" applyFill="1"/>
    <xf numFmtId="165" fontId="2" fillId="2" borderId="0" xfId="0" applyNumberFormat="1" applyFont="1" applyFill="1"/>
    <xf numFmtId="166" fontId="2" fillId="2" borderId="0" xfId="0" applyNumberFormat="1" applyFont="1" applyFill="1" applyBorder="1" applyAlignment="1">
      <alignment horizontal="right" vertical="center"/>
    </xf>
    <xf numFmtId="166" fontId="4" fillId="5" borderId="0" xfId="0" applyNumberFormat="1" applyFont="1" applyFill="1"/>
    <xf numFmtId="165" fontId="4" fillId="4" borderId="0" xfId="0" applyNumberFormat="1" applyFont="1" applyFill="1"/>
    <xf numFmtId="9" fontId="4" fillId="5" borderId="0" xfId="2" applyFont="1" applyFill="1"/>
    <xf numFmtId="0" fontId="5" fillId="6" borderId="0" xfId="0" applyFont="1" applyFill="1"/>
    <xf numFmtId="0" fontId="2" fillId="6" borderId="0" xfId="0" applyFont="1" applyFill="1"/>
    <xf numFmtId="167" fontId="2" fillId="2" borderId="0" xfId="1" applyNumberFormat="1" applyFont="1" applyFill="1"/>
    <xf numFmtId="167" fontId="2" fillId="3" borderId="0" xfId="1" applyNumberFormat="1" applyFont="1" applyFill="1"/>
    <xf numFmtId="167" fontId="4" fillId="5" borderId="0" xfId="1" applyNumberFormat="1" applyFont="1" applyFill="1"/>
    <xf numFmtId="166" fontId="4" fillId="4" borderId="0" xfId="0" applyNumberFormat="1" applyFont="1" applyFill="1"/>
    <xf numFmtId="165" fontId="2" fillId="2" borderId="0" xfId="1" applyNumberFormat="1" applyFont="1" applyFill="1" applyBorder="1" applyAlignment="1">
      <alignment horizontal="right" vertical="center"/>
    </xf>
    <xf numFmtId="165" fontId="4" fillId="5" borderId="0" xfId="1" applyNumberFormat="1" applyFont="1" applyFill="1"/>
    <xf numFmtId="0" fontId="6" fillId="7" borderId="0" xfId="0" applyFont="1" applyFill="1"/>
    <xf numFmtId="166" fontId="6" fillId="7" borderId="0" xfId="0" applyNumberFormat="1" applyFont="1" applyFill="1" applyBorder="1" applyAlignment="1">
      <alignment horizontal="right" vertical="center"/>
    </xf>
    <xf numFmtId="165" fontId="2" fillId="3" borderId="0" xfId="1" applyNumberFormat="1" applyFont="1" applyFill="1"/>
    <xf numFmtId="165" fontId="6" fillId="7" borderId="0" xfId="1" applyNumberFormat="1" applyFont="1" applyFill="1" applyBorder="1" applyAlignment="1">
      <alignment horizontal="right" vertical="center"/>
    </xf>
    <xf numFmtId="168" fontId="4" fillId="5" borderId="0" xfId="0" applyNumberFormat="1" applyFont="1" applyFill="1"/>
    <xf numFmtId="168" fontId="2" fillId="2" borderId="0" xfId="0" applyNumberFormat="1" applyFont="1" applyFill="1" applyBorder="1" applyAlignment="1">
      <alignment horizontal="right" vertical="center"/>
    </xf>
    <xf numFmtId="168" fontId="2" fillId="3" borderId="0" xfId="0" applyNumberFormat="1" applyFont="1" applyFill="1"/>
    <xf numFmtId="168" fontId="6" fillId="7" borderId="0" xfId="0" applyNumberFormat="1" applyFont="1" applyFill="1" applyBorder="1" applyAlignment="1">
      <alignment horizontal="right" vertical="center"/>
    </xf>
    <xf numFmtId="0" fontId="6" fillId="2" borderId="0" xfId="0" applyFont="1" applyFill="1"/>
    <xf numFmtId="168" fontId="6" fillId="2" borderId="0" xfId="0" applyNumberFormat="1" applyFont="1" applyFill="1" applyBorder="1" applyAlignment="1">
      <alignment horizontal="right" vertical="center"/>
    </xf>
    <xf numFmtId="169" fontId="2" fillId="3" borderId="0" xfId="0" applyNumberFormat="1" applyFont="1" applyFill="1"/>
    <xf numFmtId="1" fontId="2" fillId="2" borderId="0" xfId="0" applyNumberFormat="1" applyFont="1" applyFill="1" applyBorder="1" applyAlignment="1">
      <alignment horizontal="right" vertical="center"/>
    </xf>
    <xf numFmtId="1" fontId="6" fillId="2" borderId="0" xfId="0" applyNumberFormat="1" applyFont="1" applyFill="1" applyBorder="1" applyAlignment="1">
      <alignment horizontal="right" vertical="center"/>
    </xf>
    <xf numFmtId="165" fontId="4" fillId="5" borderId="0" xfId="0" applyNumberFormat="1" applyFont="1" applyFill="1"/>
    <xf numFmtId="165" fontId="2" fillId="3" borderId="0" xfId="0" applyNumberFormat="1" applyFont="1" applyFill="1"/>
    <xf numFmtId="165" fontId="2" fillId="2" borderId="0" xfId="0" applyNumberFormat="1" applyFont="1" applyFill="1" applyBorder="1" applyAlignment="1">
      <alignment horizontal="right" vertical="center"/>
    </xf>
    <xf numFmtId="165" fontId="6" fillId="2" borderId="0" xfId="0" applyNumberFormat="1" applyFont="1" applyFill="1" applyBorder="1" applyAlignment="1">
      <alignment horizontal="right" vertical="center"/>
    </xf>
    <xf numFmtId="165" fontId="6" fillId="7" borderId="0" xfId="0" applyNumberFormat="1" applyFont="1" applyFill="1" applyBorder="1" applyAlignment="1">
      <alignment horizontal="right" vertical="center"/>
    </xf>
    <xf numFmtId="170" fontId="2" fillId="2" borderId="0" xfId="2" applyNumberFormat="1" applyFont="1" applyFill="1"/>
    <xf numFmtId="170" fontId="2" fillId="2" borderId="0" xfId="2" applyNumberFormat="1" applyFont="1" applyFill="1" applyBorder="1" applyAlignment="1">
      <alignment horizontal="right" vertical="center"/>
    </xf>
    <xf numFmtId="170" fontId="4" fillId="5" borderId="0" xfId="2" applyNumberFormat="1" applyFont="1" applyFill="1"/>
    <xf numFmtId="170" fontId="2" fillId="3" borderId="0" xfId="0" applyNumberFormat="1" applyFont="1" applyFill="1"/>
    <xf numFmtId="170" fontId="4" fillId="4" borderId="0" xfId="2" applyNumberFormat="1" applyFont="1" applyFill="1"/>
    <xf numFmtId="170" fontId="2" fillId="3" borderId="0" xfId="2" applyNumberFormat="1" applyFont="1" applyFill="1"/>
    <xf numFmtId="0" fontId="4" fillId="3" borderId="0" xfId="0" applyFont="1" applyFill="1" applyAlignment="1">
      <alignment horizontal="left"/>
    </xf>
    <xf numFmtId="166" fontId="4" fillId="3" borderId="0" xfId="0" applyNumberFormat="1" applyFont="1" applyFill="1"/>
    <xf numFmtId="170" fontId="4" fillId="3" borderId="0" xfId="2" applyNumberFormat="1" applyFont="1" applyFill="1"/>
    <xf numFmtId="166" fontId="2" fillId="2" borderId="0" xfId="0" applyNumberFormat="1" applyFont="1" applyFill="1"/>
    <xf numFmtId="165" fontId="4" fillId="3" borderId="0" xfId="0" applyNumberFormat="1" applyFont="1" applyFill="1"/>
    <xf numFmtId="170" fontId="2" fillId="2" borderId="0" xfId="0" applyNumberFormat="1" applyFont="1" applyFill="1" applyBorder="1" applyAlignment="1">
      <alignment horizontal="right" vertical="center"/>
    </xf>
    <xf numFmtId="0" fontId="9" fillId="3" borderId="0" xfId="0" applyFont="1" applyFill="1"/>
    <xf numFmtId="43" fontId="2" fillId="3" borderId="0" xfId="0" applyNumberFormat="1" applyFont="1" applyFill="1"/>
    <xf numFmtId="170" fontId="6" fillId="2" borderId="0" xfId="2" applyNumberFormat="1" applyFont="1" applyFill="1"/>
    <xf numFmtId="170" fontId="2" fillId="2" borderId="0" xfId="2" applyNumberFormat="1" applyFont="1" applyFill="1" applyAlignment="1">
      <alignment horizontal="right"/>
    </xf>
    <xf numFmtId="166" fontId="4" fillId="4" borderId="0" xfId="0" applyNumberFormat="1" applyFont="1" applyFill="1" applyBorder="1" applyAlignment="1">
      <alignment horizontal="right" vertical="center"/>
    </xf>
    <xf numFmtId="170" fontId="4" fillId="4" borderId="0" xfId="2" applyNumberFormat="1" applyFont="1" applyFill="1" applyAlignment="1">
      <alignment horizontal="right"/>
    </xf>
    <xf numFmtId="170" fontId="4" fillId="5" borderId="0" xfId="2" applyNumberFormat="1" applyFont="1" applyFill="1" applyAlignment="1">
      <alignment horizontal="right"/>
    </xf>
    <xf numFmtId="1" fontId="2" fillId="2" borderId="0" xfId="1" applyNumberFormat="1" applyFont="1" applyFill="1" applyBorder="1" applyAlignment="1">
      <alignment horizontal="right" vertical="center"/>
    </xf>
    <xf numFmtId="171" fontId="2" fillId="3" borderId="0" xfId="0" applyNumberFormat="1" applyFont="1" applyFill="1"/>
    <xf numFmtId="166" fontId="2" fillId="3" borderId="0" xfId="0" applyNumberFormat="1" applyFont="1" applyFill="1"/>
    <xf numFmtId="172" fontId="2" fillId="3" borderId="0" xfId="0" applyNumberFormat="1" applyFont="1" applyFill="1"/>
    <xf numFmtId="9" fontId="2" fillId="3" borderId="0" xfId="2" applyFont="1" applyFill="1"/>
    <xf numFmtId="170" fontId="6" fillId="7" borderId="0" xfId="2" applyNumberFormat="1" applyFont="1" applyFill="1"/>
    <xf numFmtId="170" fontId="6" fillId="7" borderId="0" xfId="2" applyNumberFormat="1" applyFont="1" applyFill="1" applyAlignment="1">
      <alignment horizontal="right"/>
    </xf>
    <xf numFmtId="41" fontId="2" fillId="2" borderId="0" xfId="1" applyFont="1" applyFill="1" applyAlignment="1">
      <alignment horizontal="right"/>
    </xf>
    <xf numFmtId="41" fontId="2" fillId="2" borderId="0" xfId="1" applyFont="1" applyFill="1"/>
    <xf numFmtId="168" fontId="2" fillId="2" borderId="0" xfId="0" applyNumberFormat="1" applyFont="1" applyFill="1" applyBorder="1" applyAlignment="1">
      <alignment vertical="center"/>
    </xf>
    <xf numFmtId="1" fontId="2" fillId="2" borderId="0" xfId="1" applyNumberFormat="1" applyFont="1" applyFill="1" applyBorder="1" applyAlignment="1">
      <alignment vertical="center"/>
    </xf>
    <xf numFmtId="1" fontId="6" fillId="2" borderId="0" xfId="1" applyNumberFormat="1" applyFont="1" applyFill="1" applyBorder="1" applyAlignment="1">
      <alignment vertical="center"/>
    </xf>
    <xf numFmtId="0" fontId="2" fillId="3" borderId="0" xfId="0" applyFont="1" applyFill="1" applyAlignment="1">
      <alignment horizontal="center"/>
    </xf>
    <xf numFmtId="168" fontId="4" fillId="5" borderId="0" xfId="0" applyNumberFormat="1" applyFont="1" applyFill="1" applyAlignment="1">
      <alignment horizontal="center"/>
    </xf>
    <xf numFmtId="170" fontId="4" fillId="5" borderId="0" xfId="2" applyNumberFormat="1" applyFont="1" applyFill="1" applyAlignment="1">
      <alignment horizontal="center"/>
    </xf>
    <xf numFmtId="168" fontId="2" fillId="2" borderId="0" xfId="0" applyNumberFormat="1" applyFont="1" applyFill="1" applyBorder="1" applyAlignment="1">
      <alignment horizontal="center" vertical="center"/>
    </xf>
    <xf numFmtId="170" fontId="2" fillId="2" borderId="0" xfId="2" applyNumberFormat="1" applyFont="1" applyFill="1" applyAlignment="1">
      <alignment horizontal="center"/>
    </xf>
    <xf numFmtId="9" fontId="2" fillId="2" borderId="0" xfId="2" applyFont="1" applyFill="1" applyBorder="1" applyAlignment="1">
      <alignment horizontal="center" vertical="center"/>
    </xf>
    <xf numFmtId="168" fontId="6" fillId="2" borderId="0" xfId="0" applyNumberFormat="1" applyFont="1" applyFill="1" applyBorder="1" applyAlignment="1">
      <alignment horizontal="center" vertical="center"/>
    </xf>
    <xf numFmtId="9" fontId="6" fillId="2" borderId="0" xfId="2" applyFont="1" applyFill="1" applyAlignment="1">
      <alignment horizontal="center"/>
    </xf>
    <xf numFmtId="168" fontId="2" fillId="3" borderId="0" xfId="0" applyNumberFormat="1" applyFont="1" applyFill="1" applyAlignment="1">
      <alignment horizontal="center"/>
    </xf>
    <xf numFmtId="9" fontId="2" fillId="2" borderId="0" xfId="2" applyFont="1" applyFill="1" applyAlignment="1">
      <alignment horizontal="center"/>
    </xf>
    <xf numFmtId="170" fontId="6" fillId="2" borderId="0" xfId="2" applyNumberFormat="1" applyFont="1" applyFill="1" applyAlignment="1">
      <alignment horizontal="center"/>
    </xf>
    <xf numFmtId="168" fontId="6" fillId="7" borderId="0" xfId="0" applyNumberFormat="1" applyFont="1" applyFill="1" applyBorder="1" applyAlignment="1">
      <alignment horizontal="center" vertical="center"/>
    </xf>
    <xf numFmtId="170" fontId="6" fillId="7" borderId="0" xfId="2" applyNumberFormat="1" applyFont="1" applyFill="1" applyAlignment="1">
      <alignment horizontal="center"/>
    </xf>
    <xf numFmtId="0" fontId="4" fillId="4" borderId="0" xfId="0" applyFont="1" applyFill="1" applyAlignment="1">
      <alignment horizontal="center" vertical="center"/>
    </xf>
    <xf numFmtId="0" fontId="4" fillId="4" borderId="0" xfId="0" applyFont="1" applyFill="1" applyAlignment="1">
      <alignment horizontal="center" vertical="center"/>
    </xf>
    <xf numFmtId="0" fontId="2" fillId="3" borderId="0" xfId="0" applyFont="1" applyFill="1" applyAlignment="1">
      <alignment horizontal="left" vertical="top" wrapText="1"/>
    </xf>
    <xf numFmtId="49" fontId="4" fillId="4" borderId="0" xfId="0" applyNumberFormat="1" applyFont="1" applyFill="1" applyAlignment="1">
      <alignment horizontal="center" vertical="center"/>
    </xf>
    <xf numFmtId="0" fontId="4" fillId="4" borderId="0" xfId="0" applyFont="1" applyFill="1" applyAlignment="1">
      <alignment horizontal="center" vertical="center" wrapText="1"/>
    </xf>
    <xf numFmtId="0" fontId="10" fillId="3" borderId="0" xfId="0" applyFont="1" applyFill="1"/>
  </cellXfs>
  <cellStyles count="9">
    <cellStyle name="Comma [0]_resultado" xfId="6" xr:uid="{00000000-0005-0000-0000-000000000000}"/>
    <cellStyle name="Millares [0]" xfId="1" builtinId="6"/>
    <cellStyle name="Millares 10" xfId="8" xr:uid="{00000000-0005-0000-0000-000002000000}"/>
    <cellStyle name="Millares 3 2" xfId="4" xr:uid="{00000000-0005-0000-0000-000003000000}"/>
    <cellStyle name="Millares 4" xfId="5" xr:uid="{00000000-0005-0000-0000-000004000000}"/>
    <cellStyle name="Normal" xfId="0" builtinId="0"/>
    <cellStyle name="Normal 3" xfId="3" xr:uid="{00000000-0005-0000-0000-000006000000}"/>
    <cellStyle name="Normal 4" xfId="7" xr:uid="{00000000-0005-0000-0000-000007000000}"/>
    <cellStyle name="Porcentaje"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tiff"/></Relationships>
</file>

<file path=xl/drawings/_rels/drawing2.xml.rels><?xml version="1.0" encoding="UTF-8" standalone="yes"?>
<Relationships xmlns="http://schemas.openxmlformats.org/package/2006/relationships"><Relationship Id="rId1" Type="http://schemas.openxmlformats.org/officeDocument/2006/relationships/image" Target="../media/image1.tiff"/></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tiff"/></Relationships>
</file>

<file path=xl/drawings/_rels/drawing4.xml.rels><?xml version="1.0" encoding="UTF-8" standalone="yes"?>
<Relationships xmlns="http://schemas.openxmlformats.org/package/2006/relationships"><Relationship Id="rId2" Type="http://schemas.openxmlformats.org/officeDocument/2006/relationships/image" Target="../media/image1.tiff"/><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1.tiff"/><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tiff"/></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tiff"/></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editAs="oneCell">
    <xdr:from>
      <xdr:col>1</xdr:col>
      <xdr:colOff>107157</xdr:colOff>
      <xdr:row>0</xdr:row>
      <xdr:rowOff>71438</xdr:rowOff>
    </xdr:from>
    <xdr:to>
      <xdr:col>1</xdr:col>
      <xdr:colOff>1373029</xdr:colOff>
      <xdr:row>2</xdr:row>
      <xdr:rowOff>134806</xdr:rowOff>
    </xdr:to>
    <xdr:pic>
      <xdr:nvPicPr>
        <xdr:cNvPr id="4" name="Imagen 3" descr="Colbún logotipo H ME.tif">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07157" y="71438"/>
          <a:ext cx="1262062" cy="444368"/>
        </a:xfrm>
        <a:prstGeom prst="rect">
          <a:avLst/>
        </a:prstGeom>
      </xdr:spPr>
    </xdr:pic>
    <xdr:clientData/>
  </xdr:twoCellAnchor>
  <xdr:twoCellAnchor editAs="oneCell">
    <xdr:from>
      <xdr:col>1</xdr:col>
      <xdr:colOff>0</xdr:colOff>
      <xdr:row>29</xdr:row>
      <xdr:rowOff>142875</xdr:rowOff>
    </xdr:from>
    <xdr:to>
      <xdr:col>1</xdr:col>
      <xdr:colOff>1333500</xdr:colOff>
      <xdr:row>33</xdr:row>
      <xdr:rowOff>36299</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4667250"/>
          <a:ext cx="1333500" cy="6554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116417</xdr:colOff>
      <xdr:row>0</xdr:row>
      <xdr:rowOff>74083</xdr:rowOff>
    </xdr:from>
    <xdr:to>
      <xdr:col>1</xdr:col>
      <xdr:colOff>1380384</xdr:colOff>
      <xdr:row>2</xdr:row>
      <xdr:rowOff>133641</xdr:rowOff>
    </xdr:to>
    <xdr:pic>
      <xdr:nvPicPr>
        <xdr:cNvPr id="3" name="Imagen 2" descr="Colbún logotipo H ME.tif">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16417" y="74083"/>
          <a:ext cx="1262062" cy="444368"/>
        </a:xfrm>
        <a:prstGeom prst="rect">
          <a:avLst/>
        </a:prstGeom>
      </xdr:spPr>
    </xdr:pic>
    <xdr:clientData/>
  </xdr:twoCellAnchor>
  <xdr:oneCellAnchor>
    <xdr:from>
      <xdr:col>7</xdr:col>
      <xdr:colOff>116417</xdr:colOff>
      <xdr:row>0</xdr:row>
      <xdr:rowOff>74083</xdr:rowOff>
    </xdr:from>
    <xdr:ext cx="1263967" cy="419391"/>
    <xdr:pic>
      <xdr:nvPicPr>
        <xdr:cNvPr id="4" name="Imagen 3" descr="Colbún logotipo H ME.tif">
          <a:extLst>
            <a:ext uri="{FF2B5EF4-FFF2-40B4-BE49-F238E27FC236}">
              <a16:creationId xmlns:a16="http://schemas.microsoft.com/office/drawing/2014/main" id="{1639958A-B782-4CEE-A21E-245E1601E705}"/>
            </a:ext>
          </a:extLst>
        </xdr:cNvPr>
        <xdr:cNvPicPr>
          <a:picLocks noChangeAspect="1"/>
        </xdr:cNvPicPr>
      </xdr:nvPicPr>
      <xdr:blipFill>
        <a:blip xmlns:r="http://schemas.openxmlformats.org/officeDocument/2006/relationships" r:embed="rId1"/>
        <a:stretch>
          <a:fillRect/>
        </a:stretch>
      </xdr:blipFill>
      <xdr:spPr>
        <a:xfrm>
          <a:off x="116417" y="74083"/>
          <a:ext cx="1263967" cy="419391"/>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134938</xdr:colOff>
      <xdr:row>0</xdr:row>
      <xdr:rowOff>58571</xdr:rowOff>
    </xdr:from>
    <xdr:to>
      <xdr:col>1</xdr:col>
      <xdr:colOff>1398905</xdr:colOff>
      <xdr:row>2</xdr:row>
      <xdr:rowOff>123844</xdr:rowOff>
    </xdr:to>
    <xdr:pic>
      <xdr:nvPicPr>
        <xdr:cNvPr id="2" name="Imagen 1" descr="Colbún logotipo H ME.tif">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134938" y="58571"/>
          <a:ext cx="1262062" cy="444368"/>
        </a:xfrm>
        <a:prstGeom prst="rect">
          <a:avLst/>
        </a:prstGeom>
      </xdr:spPr>
    </xdr:pic>
    <xdr:clientData/>
  </xdr:twoCellAnchor>
  <xdr:twoCellAnchor editAs="oneCell">
    <xdr:from>
      <xdr:col>1</xdr:col>
      <xdr:colOff>0</xdr:colOff>
      <xdr:row>56</xdr:row>
      <xdr:rowOff>107156</xdr:rowOff>
    </xdr:from>
    <xdr:to>
      <xdr:col>1</xdr:col>
      <xdr:colOff>1333500</xdr:colOff>
      <xdr:row>58</xdr:row>
      <xdr:rowOff>39104</xdr:rowOff>
    </xdr:to>
    <xdr:pic>
      <xdr:nvPicPr>
        <xdr:cNvPr id="3" name="Imagen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5430573"/>
          <a:ext cx="1333500" cy="6554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23</xdr:row>
      <xdr:rowOff>52916</xdr:rowOff>
    </xdr:from>
    <xdr:to>
      <xdr:col>1</xdr:col>
      <xdr:colOff>1363345</xdr:colOff>
      <xdr:row>26</xdr:row>
      <xdr:rowOff>152446</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693583"/>
          <a:ext cx="1365250" cy="671030"/>
        </a:xfrm>
        <a:prstGeom prst="rect">
          <a:avLst/>
        </a:prstGeom>
      </xdr:spPr>
    </xdr:pic>
    <xdr:clientData/>
  </xdr:twoCellAnchor>
  <xdr:twoCellAnchor editAs="oneCell">
    <xdr:from>
      <xdr:col>1</xdr:col>
      <xdr:colOff>127002</xdr:colOff>
      <xdr:row>0</xdr:row>
      <xdr:rowOff>74083</xdr:rowOff>
    </xdr:from>
    <xdr:to>
      <xdr:col>1</xdr:col>
      <xdr:colOff>1276774</xdr:colOff>
      <xdr:row>2</xdr:row>
      <xdr:rowOff>95445</xdr:rowOff>
    </xdr:to>
    <xdr:pic>
      <xdr:nvPicPr>
        <xdr:cNvPr id="3" name="Imagen 2" descr="Colbún logotipo H ME.tif">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127002" y="74083"/>
          <a:ext cx="1153582" cy="40617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18</xdr:row>
      <xdr:rowOff>95250</xdr:rowOff>
    </xdr:from>
    <xdr:to>
      <xdr:col>1</xdr:col>
      <xdr:colOff>1363345</xdr:colOff>
      <xdr:row>22</xdr:row>
      <xdr:rowOff>470</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614083"/>
          <a:ext cx="1365250" cy="671030"/>
        </a:xfrm>
        <a:prstGeom prst="rect">
          <a:avLst/>
        </a:prstGeom>
      </xdr:spPr>
    </xdr:pic>
    <xdr:clientData/>
  </xdr:twoCellAnchor>
  <xdr:twoCellAnchor editAs="oneCell">
    <xdr:from>
      <xdr:col>1</xdr:col>
      <xdr:colOff>0</xdr:colOff>
      <xdr:row>0</xdr:row>
      <xdr:rowOff>95253</xdr:rowOff>
    </xdr:from>
    <xdr:to>
      <xdr:col>1</xdr:col>
      <xdr:colOff>1151677</xdr:colOff>
      <xdr:row>2</xdr:row>
      <xdr:rowOff>122330</xdr:rowOff>
    </xdr:to>
    <xdr:pic>
      <xdr:nvPicPr>
        <xdr:cNvPr id="4" name="Imagen 3" descr="Colbún logotipo H ME.tif">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a:stretch>
          <a:fillRect/>
        </a:stretch>
      </xdr:blipFill>
      <xdr:spPr>
        <a:xfrm>
          <a:off x="0" y="95253"/>
          <a:ext cx="1153582" cy="40617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119060</xdr:colOff>
      <xdr:row>0</xdr:row>
      <xdr:rowOff>119064</xdr:rowOff>
    </xdr:from>
    <xdr:to>
      <xdr:col>0</xdr:col>
      <xdr:colOff>1276452</xdr:colOff>
      <xdr:row>2</xdr:row>
      <xdr:rowOff>142331</xdr:rowOff>
    </xdr:to>
    <xdr:pic>
      <xdr:nvPicPr>
        <xdr:cNvPr id="3" name="Imagen 2" descr="Colbún logotipo H ME.tif">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119060" y="119064"/>
          <a:ext cx="1153582" cy="406172"/>
        </a:xfrm>
        <a:prstGeom prst="rect">
          <a:avLst/>
        </a:prstGeom>
      </xdr:spPr>
    </xdr:pic>
    <xdr:clientData/>
  </xdr:twoCellAnchor>
  <xdr:twoCellAnchor editAs="oneCell">
    <xdr:from>
      <xdr:col>0</xdr:col>
      <xdr:colOff>0</xdr:colOff>
      <xdr:row>13</xdr:row>
      <xdr:rowOff>154782</xdr:rowOff>
    </xdr:from>
    <xdr:to>
      <xdr:col>0</xdr:col>
      <xdr:colOff>1363345</xdr:colOff>
      <xdr:row>17</xdr:row>
      <xdr:rowOff>65717</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2738438"/>
          <a:ext cx="1365250" cy="67103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57150</xdr:colOff>
      <xdr:row>0</xdr:row>
      <xdr:rowOff>95250</xdr:rowOff>
    </xdr:from>
    <xdr:to>
      <xdr:col>0</xdr:col>
      <xdr:colOff>1210732</xdr:colOff>
      <xdr:row>2</xdr:row>
      <xdr:rowOff>125184</xdr:rowOff>
    </xdr:to>
    <xdr:pic>
      <xdr:nvPicPr>
        <xdr:cNvPr id="2" name="Imagen 1" descr="Colbún logotipo H ME.tif">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57150" y="95250"/>
          <a:ext cx="1153582" cy="406172"/>
        </a:xfrm>
        <a:prstGeom prst="rect">
          <a:avLst/>
        </a:prstGeom>
      </xdr:spPr>
    </xdr:pic>
    <xdr:clientData/>
  </xdr:twoCellAnchor>
  <xdr:twoCellAnchor editAs="oneCell">
    <xdr:from>
      <xdr:col>0</xdr:col>
      <xdr:colOff>0</xdr:colOff>
      <xdr:row>9</xdr:row>
      <xdr:rowOff>127001</xdr:rowOff>
    </xdr:from>
    <xdr:to>
      <xdr:col>0</xdr:col>
      <xdr:colOff>1370012</xdr:colOff>
      <xdr:row>13</xdr:row>
      <xdr:rowOff>36031</xdr:rowOff>
    </xdr:to>
    <xdr:pic>
      <xdr:nvPicPr>
        <xdr:cNvPr id="3" name="Imagen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852084"/>
          <a:ext cx="1365250" cy="67103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142875</xdr:colOff>
      <xdr:row>0</xdr:row>
      <xdr:rowOff>59532</xdr:rowOff>
    </xdr:from>
    <xdr:to>
      <xdr:col>1</xdr:col>
      <xdr:colOff>1296457</xdr:colOff>
      <xdr:row>2</xdr:row>
      <xdr:rowOff>84704</xdr:rowOff>
    </xdr:to>
    <xdr:pic>
      <xdr:nvPicPr>
        <xdr:cNvPr id="3" name="Imagen 2" descr="Colbún logotipo H ME.tif">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tretch>
          <a:fillRect/>
        </a:stretch>
      </xdr:blipFill>
      <xdr:spPr>
        <a:xfrm>
          <a:off x="142875" y="59532"/>
          <a:ext cx="1153582" cy="406172"/>
        </a:xfrm>
        <a:prstGeom prst="rect">
          <a:avLst/>
        </a:prstGeom>
      </xdr:spPr>
    </xdr:pic>
    <xdr:clientData/>
  </xdr:twoCellAnchor>
  <xdr:twoCellAnchor editAs="oneCell">
    <xdr:from>
      <xdr:col>1</xdr:col>
      <xdr:colOff>0</xdr:colOff>
      <xdr:row>18</xdr:row>
      <xdr:rowOff>83343</xdr:rowOff>
    </xdr:from>
    <xdr:to>
      <xdr:col>1</xdr:col>
      <xdr:colOff>1361440</xdr:colOff>
      <xdr:row>22</xdr:row>
      <xdr:rowOff>1898</xdr:rowOff>
    </xdr:to>
    <xdr:pic>
      <xdr:nvPicPr>
        <xdr:cNvPr id="4" name="Imagen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3369468"/>
          <a:ext cx="1365250" cy="6710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livelink.colbunsa.cl/contentserverdav/nodes/678552/Estructura%20Financiera%20Vigente%20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óximos 12 meses "/>
      <sheetName val="Resumen"/>
      <sheetName val="KFW"/>
      <sheetName val="Corpbanca"/>
      <sheetName val="Directorio"/>
      <sheetName val="Amortizaciones"/>
      <sheetName val="Derivados"/>
      <sheetName val="Bono Fenix"/>
      <sheetName val="Crédito Fenix"/>
      <sheetName val="Serie C"/>
      <sheetName val="Serie E"/>
      <sheetName val="Serie F"/>
      <sheetName val="Serie G"/>
      <sheetName val="Serie I"/>
      <sheetName val="Bono 2010 144A"/>
      <sheetName val="Crédito 2012"/>
      <sheetName val="Bono 2014 144A"/>
      <sheetName val="Bono 2017 144A"/>
      <sheetName val="Leasing Transmantaro (Fenix)"/>
      <sheetName val="Hoja1"/>
      <sheetName val="Club Deal 2013"/>
      <sheetName val="Club Deal 2014"/>
      <sheetName val="Sindicado"/>
      <sheetName val="Serie H"/>
    </sheetNames>
    <sheetDataSet>
      <sheetData sheetId="0"/>
      <sheetData sheetId="1"/>
      <sheetData sheetId="2"/>
      <sheetData sheetId="3"/>
      <sheetData sheetId="4">
        <row r="9">
          <cell r="K9">
            <v>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4:AD53"/>
  <sheetViews>
    <sheetView topLeftCell="B1" zoomScale="80" zoomScaleNormal="80" workbookViewId="0">
      <selection activeCell="B43" sqref="B43"/>
    </sheetView>
  </sheetViews>
  <sheetFormatPr baseColWidth="10" defaultColWidth="11.42578125" defaultRowHeight="15" x14ac:dyDescent="0.3"/>
  <cols>
    <col min="1" max="1" width="7.28515625" style="1" hidden="1" customWidth="1"/>
    <col min="2" max="2" width="35.42578125" style="1" customWidth="1"/>
    <col min="3" max="7" width="11.42578125" style="1"/>
    <col min="8" max="8" width="37.42578125" style="1" customWidth="1"/>
    <col min="9" max="20" width="11.42578125" style="1" hidden="1" customWidth="1"/>
    <col min="21" max="27" width="11.42578125" style="1" customWidth="1"/>
    <col min="28" max="16384" width="11.42578125" style="1"/>
  </cols>
  <sheetData>
    <row r="4" spans="1:30" ht="23.25" x14ac:dyDescent="0.35">
      <c r="B4" s="13" t="s">
        <v>30</v>
      </c>
      <c r="C4" s="14"/>
      <c r="D4" s="14"/>
      <c r="E4" s="14"/>
      <c r="H4" s="13" t="s">
        <v>30</v>
      </c>
      <c r="I4" s="14"/>
      <c r="J4" s="14"/>
      <c r="K4" s="14"/>
      <c r="L4" s="14"/>
      <c r="M4" s="14"/>
      <c r="N4" s="14"/>
      <c r="O4" s="14"/>
      <c r="P4" s="14"/>
      <c r="Q4" s="14"/>
      <c r="R4" s="14"/>
      <c r="S4" s="14"/>
      <c r="T4" s="14"/>
      <c r="U4" s="14"/>
      <c r="V4" s="14"/>
      <c r="W4" s="14"/>
      <c r="X4" s="14"/>
      <c r="Y4" s="14"/>
      <c r="Z4" s="14"/>
      <c r="AA4" s="14"/>
      <c r="AB4" s="14"/>
      <c r="AC4" s="14"/>
      <c r="AD4" s="14"/>
    </row>
    <row r="6" spans="1:30" x14ac:dyDescent="0.3">
      <c r="A6" s="1">
        <v>1</v>
      </c>
      <c r="B6" s="3" t="s">
        <v>89</v>
      </c>
      <c r="C6" s="84" t="s">
        <v>110</v>
      </c>
      <c r="D6" s="84" t="s">
        <v>118</v>
      </c>
      <c r="E6" s="84" t="s">
        <v>29</v>
      </c>
      <c r="H6" s="3" t="s">
        <v>71</v>
      </c>
      <c r="I6" s="84" t="s">
        <v>55</v>
      </c>
      <c r="J6" s="84" t="s">
        <v>56</v>
      </c>
      <c r="K6" s="84" t="s">
        <v>57</v>
      </c>
      <c r="L6" s="84" t="s">
        <v>58</v>
      </c>
      <c r="M6" s="84" t="s">
        <v>59</v>
      </c>
      <c r="N6" s="84" t="s">
        <v>60</v>
      </c>
      <c r="O6" s="84" t="s">
        <v>61</v>
      </c>
      <c r="P6" s="84" t="s">
        <v>62</v>
      </c>
      <c r="Q6" s="84" t="s">
        <v>54</v>
      </c>
      <c r="R6" s="84" t="s">
        <v>53</v>
      </c>
      <c r="S6" s="84" t="s">
        <v>52</v>
      </c>
      <c r="T6" s="84" t="s">
        <v>51</v>
      </c>
      <c r="U6" s="84" t="s">
        <v>50</v>
      </c>
      <c r="V6" s="84" t="s">
        <v>49</v>
      </c>
      <c r="W6" s="84" t="s">
        <v>48</v>
      </c>
      <c r="X6" s="84" t="s">
        <v>99</v>
      </c>
      <c r="Y6" s="84" t="s">
        <v>102</v>
      </c>
      <c r="Z6" s="84" t="s">
        <v>110</v>
      </c>
      <c r="AA6" s="84" t="s">
        <v>111</v>
      </c>
      <c r="AB6" s="84" t="s">
        <v>112</v>
      </c>
      <c r="AC6" s="84" t="s">
        <v>114</v>
      </c>
      <c r="AD6" s="84" t="s">
        <v>118</v>
      </c>
    </row>
    <row r="7" spans="1:30" x14ac:dyDescent="0.3">
      <c r="A7" s="1">
        <f>+A6+1</f>
        <v>2</v>
      </c>
      <c r="B7" s="3" t="s">
        <v>72</v>
      </c>
      <c r="C7" s="84"/>
      <c r="D7" s="84"/>
      <c r="E7" s="84"/>
      <c r="H7" s="3" t="s">
        <v>72</v>
      </c>
      <c r="I7" s="84"/>
      <c r="J7" s="84"/>
      <c r="K7" s="84"/>
      <c r="L7" s="84"/>
      <c r="M7" s="84"/>
      <c r="N7" s="84"/>
      <c r="O7" s="84"/>
      <c r="P7" s="84"/>
      <c r="Q7" s="84"/>
      <c r="R7" s="84"/>
      <c r="S7" s="84"/>
      <c r="T7" s="84"/>
      <c r="U7" s="84"/>
      <c r="V7" s="84"/>
      <c r="W7" s="84"/>
      <c r="X7" s="84"/>
      <c r="Y7" s="84"/>
      <c r="Z7" s="84"/>
      <c r="AA7" s="84"/>
      <c r="AB7" s="84"/>
      <c r="AC7" s="84"/>
      <c r="AD7" s="84"/>
    </row>
    <row r="8" spans="1:30" x14ac:dyDescent="0.3">
      <c r="A8" s="1">
        <f t="shared" ref="A8:A29" si="0">+A7+1</f>
        <v>3</v>
      </c>
      <c r="C8" s="70"/>
      <c r="D8" s="70"/>
      <c r="E8" s="70"/>
    </row>
    <row r="9" spans="1:30" x14ac:dyDescent="0.3">
      <c r="A9" s="1">
        <f t="shared" si="0"/>
        <v>4</v>
      </c>
      <c r="B9" s="6" t="s">
        <v>73</v>
      </c>
      <c r="C9" s="71">
        <f>+HLOOKUP($C$6,H6:AK29,A9,FALSE)</f>
        <v>3424.7141303512244</v>
      </c>
      <c r="D9" s="71">
        <f>+HLOOKUP($D$6,$H$6:$AD$29,A9,FALSE)</f>
        <v>3283.4757303354709</v>
      </c>
      <c r="E9" s="72">
        <f>D9/C9-1</f>
        <v>-4.1240931254390212E-2</v>
      </c>
      <c r="H9" s="6" t="s">
        <v>73</v>
      </c>
      <c r="I9" s="25">
        <f>SUM(I11:I13)</f>
        <v>2560.681023770358</v>
      </c>
      <c r="J9" s="25">
        <f t="shared" ref="J9:W9" si="1">SUM(J11:J13)</f>
        <v>3204.9189762296419</v>
      </c>
      <c r="K9" s="25">
        <f t="shared" si="1"/>
        <v>3160</v>
      </c>
      <c r="L9" s="25">
        <f t="shared" si="1"/>
        <v>3256.6374880461249</v>
      </c>
      <c r="M9" s="25">
        <f t="shared" si="1"/>
        <v>3108.5000952819764</v>
      </c>
      <c r="N9" s="25">
        <f t="shared" si="1"/>
        <v>3307.390542442422</v>
      </c>
      <c r="O9" s="25">
        <f t="shared" si="1"/>
        <v>3196.9342477735267</v>
      </c>
      <c r="P9" s="25">
        <f t="shared" si="1"/>
        <v>2884.5970569424348</v>
      </c>
      <c r="Q9" s="25">
        <f t="shared" si="1"/>
        <v>3159.4090628176209</v>
      </c>
      <c r="R9" s="25">
        <f t="shared" si="1"/>
        <v>3243.5380586726274</v>
      </c>
      <c r="S9" s="25">
        <f t="shared" si="1"/>
        <v>2781</v>
      </c>
      <c r="T9" s="25">
        <f t="shared" si="1"/>
        <v>2772.5335138224214</v>
      </c>
      <c r="U9" s="25">
        <f t="shared" si="1"/>
        <v>3110.0663316242094</v>
      </c>
      <c r="V9" s="25">
        <f t="shared" si="1"/>
        <v>3272.6612769021672</v>
      </c>
      <c r="W9" s="25">
        <f t="shared" si="1"/>
        <v>3026.6000000000004</v>
      </c>
      <c r="X9" s="25">
        <f t="shared" ref="X9:Y9" si="2">SUM(X11:X13)</f>
        <v>3018.3478999999998</v>
      </c>
      <c r="Y9" s="25">
        <f t="shared" si="2"/>
        <v>3407.8686676943248</v>
      </c>
      <c r="Z9" s="25">
        <f t="shared" ref="Z9" si="3">SUM(Z11:Z13)</f>
        <v>3424.7141303512244</v>
      </c>
      <c r="AA9" s="25">
        <f>SUM(AA11:AA13)</f>
        <v>3032.4843176373879</v>
      </c>
      <c r="AB9" s="25">
        <f>SUM(AB11:AB13)</f>
        <v>2985.7599999999998</v>
      </c>
      <c r="AC9" s="25">
        <f>SUM(AC11:AC13)</f>
        <v>3248.3094991474445</v>
      </c>
      <c r="AD9" s="25">
        <f>SUM(AD11:AD13)</f>
        <v>3283.4757303354709</v>
      </c>
    </row>
    <row r="10" spans="1:30" ht="5.25" customHeight="1" x14ac:dyDescent="0.3">
      <c r="A10" s="1">
        <f t="shared" si="0"/>
        <v>5</v>
      </c>
      <c r="C10" s="70"/>
      <c r="D10" s="70"/>
      <c r="E10" s="70"/>
    </row>
    <row r="11" spans="1:30" x14ac:dyDescent="0.3">
      <c r="A11" s="1">
        <f t="shared" si="0"/>
        <v>6</v>
      </c>
      <c r="B11" s="5" t="s">
        <v>74</v>
      </c>
      <c r="C11" s="73">
        <f>+HLOOKUP($C$6,$H$6:$AK$31,A11,FALSE)</f>
        <v>1376.7867522959921</v>
      </c>
      <c r="D11" s="73">
        <f t="shared" ref="D11:D29" si="4">+HLOOKUP($D$6,$H$6:$AD$29,A11,FALSE)</f>
        <v>1113.520302783694</v>
      </c>
      <c r="E11" s="74">
        <f>+D11/C11-1</f>
        <v>-0.1912180292795983</v>
      </c>
      <c r="H11" s="5" t="s">
        <v>74</v>
      </c>
      <c r="I11" s="26">
        <v>1109</v>
      </c>
      <c r="J11" s="26">
        <v>1621</v>
      </c>
      <c r="K11" s="26">
        <v>1816</v>
      </c>
      <c r="L11" s="26">
        <v>2109</v>
      </c>
      <c r="M11" s="26">
        <v>1733.6471680194898</v>
      </c>
      <c r="N11" s="26">
        <v>1698.807051092178</v>
      </c>
      <c r="O11" s="26">
        <v>1635.6751473021668</v>
      </c>
      <c r="P11" s="26">
        <v>1556.7919803760619</v>
      </c>
      <c r="Q11" s="26">
        <v>1644.6652440438811</v>
      </c>
      <c r="R11" s="26">
        <v>1622.1834633647968</v>
      </c>
      <c r="S11" s="26">
        <v>1621</v>
      </c>
      <c r="T11" s="26">
        <v>1645.6228534367942</v>
      </c>
      <c r="U11" s="26">
        <v>1654.636696809614</v>
      </c>
      <c r="V11" s="26">
        <v>1578.8122475593327</v>
      </c>
      <c r="W11" s="26">
        <v>1579.9</v>
      </c>
      <c r="X11" s="26">
        <v>1489.7</v>
      </c>
      <c r="Y11" s="26">
        <v>1416.5104173471059</v>
      </c>
      <c r="Z11" s="26">
        <v>1376.7867522959921</v>
      </c>
      <c r="AA11" s="26">
        <v>1376.3688059441031</v>
      </c>
      <c r="AB11" s="26">
        <v>1255.8720000000001</v>
      </c>
      <c r="AC11" s="26">
        <v>1086.4614696775211</v>
      </c>
      <c r="AD11" s="26">
        <v>1113.520302783694</v>
      </c>
    </row>
    <row r="12" spans="1:30" x14ac:dyDescent="0.3">
      <c r="A12" s="1">
        <f t="shared" si="0"/>
        <v>7</v>
      </c>
      <c r="B12" s="5" t="s">
        <v>75</v>
      </c>
      <c r="C12" s="73">
        <f t="shared" ref="C12:C29" si="5">+HLOOKUP($C$6,$H$6:$AK$31,A12,FALSE)</f>
        <v>1530.5063780552321</v>
      </c>
      <c r="D12" s="73">
        <f t="shared" si="4"/>
        <v>1597.6601237928339</v>
      </c>
      <c r="E12" s="75">
        <f t="shared" ref="E12:E13" si="6">+D12/C12-1</f>
        <v>4.3876815347174247E-2</v>
      </c>
      <c r="H12" s="5" t="s">
        <v>75</v>
      </c>
      <c r="I12" s="26">
        <v>1232.7135073230352</v>
      </c>
      <c r="J12" s="26">
        <v>1159.3864926769647</v>
      </c>
      <c r="K12" s="26">
        <v>1197</v>
      </c>
      <c r="L12" s="26">
        <v>1147.6374880461249</v>
      </c>
      <c r="M12" s="26">
        <v>1047.8529272624869</v>
      </c>
      <c r="N12" s="26">
        <v>1124.583491350244</v>
      </c>
      <c r="O12" s="26">
        <v>1105.54281147136</v>
      </c>
      <c r="P12" s="26">
        <v>1150.043912020727</v>
      </c>
      <c r="Q12" s="26">
        <v>1111.9510521693539</v>
      </c>
      <c r="R12" s="26">
        <v>1108.645275548731</v>
      </c>
      <c r="S12" s="26">
        <v>1160</v>
      </c>
      <c r="T12" s="26">
        <v>1126.9106603856271</v>
      </c>
      <c r="U12" s="26">
        <v>1099.855435357053</v>
      </c>
      <c r="V12" s="26">
        <v>1217.4004521789029</v>
      </c>
      <c r="W12" s="26">
        <v>1230.9000000000001</v>
      </c>
      <c r="X12" s="26">
        <v>1183.54</v>
      </c>
      <c r="Y12" s="26">
        <v>1466.8419977512128</v>
      </c>
      <c r="Z12" s="26">
        <v>1530.5063780552321</v>
      </c>
      <c r="AA12" s="26">
        <v>1541.9482833212292</v>
      </c>
      <c r="AB12" s="26">
        <v>1573.4090000000001</v>
      </c>
      <c r="AC12" s="26">
        <v>1489.1812975310297</v>
      </c>
      <c r="AD12" s="26">
        <v>1597.6601237928339</v>
      </c>
    </row>
    <row r="13" spans="1:30" x14ac:dyDescent="0.3">
      <c r="A13" s="1">
        <f t="shared" si="0"/>
        <v>8</v>
      </c>
      <c r="B13" s="29" t="s">
        <v>76</v>
      </c>
      <c r="C13" s="76">
        <f t="shared" si="5"/>
        <v>517.42100000000005</v>
      </c>
      <c r="D13" s="76">
        <f t="shared" si="4"/>
        <v>572.29530375894296</v>
      </c>
      <c r="E13" s="77">
        <f t="shared" si="6"/>
        <v>0.10605349175805179</v>
      </c>
      <c r="H13" s="29" t="s">
        <v>76</v>
      </c>
      <c r="I13" s="26">
        <v>218.96751644732302</v>
      </c>
      <c r="J13" s="26">
        <v>424.53248355267698</v>
      </c>
      <c r="K13" s="26">
        <v>147</v>
      </c>
      <c r="L13" s="32">
        <v>0</v>
      </c>
      <c r="M13" s="26">
        <v>327</v>
      </c>
      <c r="N13" s="26">
        <v>484</v>
      </c>
      <c r="O13" s="26">
        <v>455.71628899999996</v>
      </c>
      <c r="P13" s="26">
        <v>177.76116454564578</v>
      </c>
      <c r="Q13" s="26">
        <v>402.79276660438609</v>
      </c>
      <c r="R13" s="26">
        <v>512.70931975909969</v>
      </c>
      <c r="S13" s="32">
        <v>0</v>
      </c>
      <c r="T13" s="32">
        <v>0</v>
      </c>
      <c r="U13" s="26">
        <v>355.57419945754248</v>
      </c>
      <c r="V13" s="26">
        <v>476.44857716393153</v>
      </c>
      <c r="W13" s="26">
        <v>215.8</v>
      </c>
      <c r="X13" s="26">
        <v>345.10789999999997</v>
      </c>
      <c r="Y13" s="26">
        <v>524.51625259600632</v>
      </c>
      <c r="Z13" s="26">
        <v>517.42100000000005</v>
      </c>
      <c r="AA13" s="26">
        <v>114.16722837205532</v>
      </c>
      <c r="AB13" s="26">
        <v>156.47899999999998</v>
      </c>
      <c r="AC13" s="26">
        <v>672.66673193889369</v>
      </c>
      <c r="AD13" s="26">
        <v>572.29530375894296</v>
      </c>
    </row>
    <row r="14" spans="1:30" ht="5.25" customHeight="1" x14ac:dyDescent="0.3">
      <c r="A14" s="1">
        <f t="shared" si="0"/>
        <v>9</v>
      </c>
      <c r="C14" s="78">
        <f t="shared" si="5"/>
        <v>0</v>
      </c>
      <c r="D14" s="78">
        <f t="shared" si="4"/>
        <v>0</v>
      </c>
      <c r="E14" s="70"/>
      <c r="I14" s="27"/>
      <c r="J14" s="27"/>
      <c r="K14" s="27"/>
      <c r="L14" s="27"/>
      <c r="M14" s="27"/>
      <c r="N14" s="27"/>
      <c r="O14" s="27"/>
      <c r="P14" s="27"/>
      <c r="Q14" s="27"/>
      <c r="R14" s="27"/>
      <c r="S14" s="27"/>
      <c r="T14" s="27"/>
      <c r="U14" s="27"/>
      <c r="V14" s="27"/>
      <c r="W14" s="27"/>
      <c r="X14" s="27"/>
      <c r="Y14" s="27"/>
      <c r="Z14" s="27"/>
      <c r="AA14" s="27"/>
      <c r="AB14" s="27"/>
      <c r="AC14" s="27"/>
      <c r="AD14" s="27"/>
    </row>
    <row r="15" spans="1:30" x14ac:dyDescent="0.3">
      <c r="A15" s="1">
        <f t="shared" si="0"/>
        <v>10</v>
      </c>
      <c r="B15" s="5" t="s">
        <v>77</v>
      </c>
      <c r="C15" s="73">
        <f t="shared" si="5"/>
        <v>1609.7</v>
      </c>
      <c r="D15" s="73">
        <f t="shared" si="4"/>
        <v>1574.1138055772778</v>
      </c>
      <c r="E15" s="79">
        <f t="shared" ref="E15" si="7">+D15/C15-1</f>
        <v>-2.2107345730708938E-2</v>
      </c>
      <c r="H15" s="5" t="s">
        <v>77</v>
      </c>
      <c r="I15" s="26">
        <v>1750</v>
      </c>
      <c r="J15" s="26">
        <v>1676.5379</v>
      </c>
      <c r="K15" s="26">
        <v>1717</v>
      </c>
      <c r="L15" s="26">
        <v>1658.537353248</v>
      </c>
      <c r="M15" s="26">
        <v>1593</v>
      </c>
      <c r="N15" s="26">
        <v>1584.2553333333301</v>
      </c>
      <c r="O15" s="26">
        <v>1585</v>
      </c>
      <c r="P15" s="26">
        <v>1509.0192104540001</v>
      </c>
      <c r="Q15" s="26">
        <v>1516.2572692093333</v>
      </c>
      <c r="R15" s="26">
        <v>1586.312932267</v>
      </c>
      <c r="S15" s="26">
        <v>1611</v>
      </c>
      <c r="T15" s="26">
        <v>1605.0969330646667</v>
      </c>
      <c r="U15" s="26">
        <v>1608.011451372</v>
      </c>
      <c r="V15" s="26">
        <v>1580.915037662</v>
      </c>
      <c r="W15" s="26">
        <v>1615</v>
      </c>
      <c r="X15" s="26">
        <v>1629.6032617540002</v>
      </c>
      <c r="Y15" s="26">
        <v>1632.7914912306667</v>
      </c>
      <c r="Z15" s="26">
        <v>1609.7</v>
      </c>
      <c r="AA15" s="26">
        <v>1656.6028448940003</v>
      </c>
      <c r="AB15" s="26">
        <v>1663.0676706436664</v>
      </c>
      <c r="AC15" s="26">
        <v>1664</v>
      </c>
      <c r="AD15" s="26">
        <v>1574.1138055772778</v>
      </c>
    </row>
    <row r="16" spans="1:30" ht="10.5" customHeight="1" x14ac:dyDescent="0.3">
      <c r="A16" s="1">
        <f t="shared" si="0"/>
        <v>11</v>
      </c>
      <c r="C16" s="70"/>
      <c r="D16" s="70"/>
      <c r="E16" s="70"/>
    </row>
    <row r="17" spans="1:30" x14ac:dyDescent="0.3">
      <c r="A17" s="1">
        <f t="shared" si="0"/>
        <v>12</v>
      </c>
      <c r="B17" s="6" t="s">
        <v>78</v>
      </c>
      <c r="C17" s="71">
        <f t="shared" si="5"/>
        <v>3514.8398608767438</v>
      </c>
      <c r="D17" s="71">
        <f t="shared" si="4"/>
        <v>3334.3651071043373</v>
      </c>
      <c r="E17" s="72">
        <f>D17/C17-1</f>
        <v>-5.1346508209733521E-2</v>
      </c>
      <c r="H17" s="6" t="s">
        <v>78</v>
      </c>
      <c r="I17" s="25">
        <f>+I19+I20+I24</f>
        <v>3267.9317000000001</v>
      </c>
      <c r="J17" s="25">
        <f t="shared" ref="J17:Y17" si="8">+J19+J20+J24</f>
        <v>3498.9682999999995</v>
      </c>
      <c r="K17" s="25">
        <f t="shared" si="8"/>
        <v>3240</v>
      </c>
      <c r="L17" s="25">
        <f t="shared" si="8"/>
        <v>2855.1034</v>
      </c>
      <c r="M17" s="25">
        <f t="shared" si="8"/>
        <v>3195.3278</v>
      </c>
      <c r="N17" s="25">
        <f t="shared" si="8"/>
        <v>3388.34238</v>
      </c>
      <c r="O17" s="25">
        <f t="shared" si="8"/>
        <v>3270.1603</v>
      </c>
      <c r="P17" s="25">
        <f t="shared" si="8"/>
        <v>2792.3428942799992</v>
      </c>
      <c r="Q17" s="25">
        <f t="shared" si="8"/>
        <v>3221.5743400000001</v>
      </c>
      <c r="R17" s="25">
        <f t="shared" si="8"/>
        <v>3312.9959699999995</v>
      </c>
      <c r="S17" s="25">
        <f t="shared" si="8"/>
        <v>2412</v>
      </c>
      <c r="T17" s="25">
        <f t="shared" si="8"/>
        <v>2329.3105321120001</v>
      </c>
      <c r="U17" s="25">
        <f t="shared" si="8"/>
        <v>3191.2302385571666</v>
      </c>
      <c r="V17" s="25">
        <f t="shared" si="8"/>
        <v>3386.4810116580002</v>
      </c>
      <c r="W17" s="25">
        <f t="shared" si="8"/>
        <v>3058.0208900000002</v>
      </c>
      <c r="X17" s="25">
        <f t="shared" si="8"/>
        <v>3079.87891455</v>
      </c>
      <c r="Y17" s="25">
        <f t="shared" si="8"/>
        <v>3455.3460179723684</v>
      </c>
      <c r="Z17" s="25">
        <f t="shared" ref="Z17:AD17" si="9">+Z19+Z20+Z24</f>
        <v>3514.8398608767438</v>
      </c>
      <c r="AA17" s="25">
        <f t="shared" si="9"/>
        <v>3026.0395302917295</v>
      </c>
      <c r="AB17" s="25">
        <f t="shared" si="9"/>
        <v>3009.206121845772</v>
      </c>
      <c r="AC17" s="25">
        <f t="shared" si="9"/>
        <v>3334.4824444330111</v>
      </c>
      <c r="AD17" s="25">
        <f t="shared" si="9"/>
        <v>3334.3651071043373</v>
      </c>
    </row>
    <row r="18" spans="1:30" ht="5.25" customHeight="1" x14ac:dyDescent="0.3">
      <c r="A18" s="1">
        <f t="shared" si="0"/>
        <v>13</v>
      </c>
      <c r="C18" s="70"/>
      <c r="D18" s="70"/>
      <c r="E18" s="70"/>
    </row>
    <row r="19" spans="1:30" x14ac:dyDescent="0.3">
      <c r="A19" s="1">
        <f t="shared" si="0"/>
        <v>14</v>
      </c>
      <c r="B19" s="29" t="s">
        <v>79</v>
      </c>
      <c r="C19" s="76">
        <f t="shared" si="5"/>
        <v>1433.3703999999998</v>
      </c>
      <c r="D19" s="76">
        <f t="shared" si="4"/>
        <v>1371.5127</v>
      </c>
      <c r="E19" s="80">
        <f>+D19/C19-1</f>
        <v>-4.3155418864516681E-2</v>
      </c>
      <c r="H19" s="29" t="s">
        <v>79</v>
      </c>
      <c r="I19" s="30">
        <v>1108.7977000000001</v>
      </c>
      <c r="J19" s="30">
        <v>1620.9022999999997</v>
      </c>
      <c r="K19" s="30">
        <v>1816</v>
      </c>
      <c r="L19" s="30">
        <v>2109.0504000000001</v>
      </c>
      <c r="M19" s="30">
        <v>1097.7067999999999</v>
      </c>
      <c r="N19" s="30">
        <v>1357.50828</v>
      </c>
      <c r="O19" s="30">
        <v>1723.634</v>
      </c>
      <c r="P19" s="30">
        <v>2285.4995499999995</v>
      </c>
      <c r="Q19" s="30">
        <v>1287.5566399999998</v>
      </c>
      <c r="R19" s="30">
        <v>1338.0191999999997</v>
      </c>
      <c r="S19" s="30">
        <v>988</v>
      </c>
      <c r="T19" s="30">
        <v>1153.0769</v>
      </c>
      <c r="U19" s="30">
        <v>1089.2442348041668</v>
      </c>
      <c r="V19" s="30">
        <v>1248.1063999999999</v>
      </c>
      <c r="W19" s="30">
        <v>1403.1208899999999</v>
      </c>
      <c r="X19" s="30">
        <v>2156.30267</v>
      </c>
      <c r="Y19" s="30">
        <v>1409.2049400000001</v>
      </c>
      <c r="Z19" s="30">
        <v>1433.3703999999998</v>
      </c>
      <c r="AA19" s="30">
        <v>1348.5269000000001</v>
      </c>
      <c r="AB19" s="30">
        <v>2120.86</v>
      </c>
      <c r="AC19" s="30">
        <v>1194.2386000000001</v>
      </c>
      <c r="AD19" s="30">
        <v>1371.5127</v>
      </c>
    </row>
    <row r="20" spans="1:30" x14ac:dyDescent="0.3">
      <c r="A20" s="1">
        <f t="shared" si="0"/>
        <v>15</v>
      </c>
      <c r="B20" s="29" t="s">
        <v>103</v>
      </c>
      <c r="C20" s="76">
        <f t="shared" si="5"/>
        <v>2052.0571999999997</v>
      </c>
      <c r="D20" s="76">
        <f t="shared" si="4"/>
        <v>1902.7019399999999</v>
      </c>
      <c r="E20" s="80">
        <f>+D20/C20-1</f>
        <v>-7.2783185575918563E-2</v>
      </c>
      <c r="H20" s="29" t="s">
        <v>103</v>
      </c>
      <c r="I20" s="30">
        <f>SUM(I21:I23)</f>
        <v>2159.134</v>
      </c>
      <c r="J20" s="30">
        <f t="shared" ref="J20:Y20" si="10">SUM(J21:J23)</f>
        <v>1878.0659999999998</v>
      </c>
      <c r="K20" s="30">
        <f t="shared" si="10"/>
        <v>1424</v>
      </c>
      <c r="L20" s="30">
        <f t="shared" si="10"/>
        <v>719.053</v>
      </c>
      <c r="M20" s="30">
        <f t="shared" si="10"/>
        <v>2079.7550000000001</v>
      </c>
      <c r="N20" s="30">
        <f t="shared" si="10"/>
        <v>2003.309</v>
      </c>
      <c r="O20" s="30">
        <f t="shared" si="10"/>
        <v>1519.4349999999999</v>
      </c>
      <c r="P20" s="30">
        <f t="shared" si="10"/>
        <v>467.988</v>
      </c>
      <c r="Q20" s="30">
        <f t="shared" si="10"/>
        <v>1915.18</v>
      </c>
      <c r="R20" s="30">
        <f t="shared" si="10"/>
        <v>1956.502</v>
      </c>
      <c r="S20" s="30">
        <f t="shared" si="10"/>
        <v>1396</v>
      </c>
      <c r="T20" s="30">
        <f t="shared" si="10"/>
        <v>1146.3820000000001</v>
      </c>
      <c r="U20" s="30">
        <f t="shared" si="10"/>
        <v>2080.1379999999999</v>
      </c>
      <c r="V20" s="30">
        <f t="shared" si="10"/>
        <v>2109.0740000000001</v>
      </c>
      <c r="W20" s="30">
        <f t="shared" si="10"/>
        <v>1625.5</v>
      </c>
      <c r="X20" s="30">
        <f t="shared" si="10"/>
        <v>887.74</v>
      </c>
      <c r="Y20" s="30">
        <f t="shared" si="10"/>
        <v>2019.9259999999999</v>
      </c>
      <c r="Z20" s="30">
        <f t="shared" ref="Z20:AD20" si="11">SUM(Z21:Z23)</f>
        <v>2052.0571999999997</v>
      </c>
      <c r="AA20" s="30">
        <f t="shared" si="11"/>
        <v>1640.9929999999999</v>
      </c>
      <c r="AB20" s="30">
        <f t="shared" si="11"/>
        <v>844.64</v>
      </c>
      <c r="AC20" s="30">
        <f t="shared" si="11"/>
        <v>2113.667219685</v>
      </c>
      <c r="AD20" s="30">
        <f t="shared" si="11"/>
        <v>1902.7019399999999</v>
      </c>
    </row>
    <row r="21" spans="1:30" x14ac:dyDescent="0.3">
      <c r="A21" s="1">
        <f t="shared" si="0"/>
        <v>16</v>
      </c>
      <c r="B21" s="5" t="s">
        <v>104</v>
      </c>
      <c r="C21" s="73">
        <f t="shared" si="5"/>
        <v>1341.1381999999999</v>
      </c>
      <c r="D21" s="73">
        <f t="shared" si="4"/>
        <v>1199.1079999999999</v>
      </c>
      <c r="E21" s="74">
        <f t="shared" ref="E21:E25" si="12">+D21/C21-1</f>
        <v>-0.10590273247007653</v>
      </c>
      <c r="H21" s="5" t="s">
        <v>104</v>
      </c>
      <c r="I21" s="26">
        <v>1357.1130000000001</v>
      </c>
      <c r="J21" s="26">
        <v>929.08699999999976</v>
      </c>
      <c r="K21" s="26">
        <v>536</v>
      </c>
      <c r="L21" s="26">
        <v>188.97200000000001</v>
      </c>
      <c r="M21" s="26">
        <v>1146.7660000000001</v>
      </c>
      <c r="N21" s="26">
        <v>1201.8629999999998</v>
      </c>
      <c r="O21" s="26">
        <v>868.34900000000005</v>
      </c>
      <c r="P21" s="26">
        <v>204.482</v>
      </c>
      <c r="Q21" s="26">
        <v>1212.1610000000001</v>
      </c>
      <c r="R21" s="26">
        <v>1027.8029999999999</v>
      </c>
      <c r="S21" s="26">
        <v>559</v>
      </c>
      <c r="T21" s="26">
        <v>795.11400000000003</v>
      </c>
      <c r="U21" s="26">
        <v>1300.9190000000001</v>
      </c>
      <c r="V21" s="26">
        <v>1248.1420000000001</v>
      </c>
      <c r="W21" s="26">
        <v>846.3</v>
      </c>
      <c r="X21" s="26">
        <v>495.12900000000002</v>
      </c>
      <c r="Y21" s="26">
        <v>1268.5309999999999</v>
      </c>
      <c r="Z21" s="26">
        <v>1341.1381999999999</v>
      </c>
      <c r="AA21" s="26">
        <v>914.07899999999995</v>
      </c>
      <c r="AB21" s="26">
        <v>335.71</v>
      </c>
      <c r="AC21" s="26">
        <v>1362.9110000000001</v>
      </c>
      <c r="AD21" s="26">
        <v>1199.1079999999999</v>
      </c>
    </row>
    <row r="22" spans="1:30" x14ac:dyDescent="0.3">
      <c r="A22" s="1">
        <f t="shared" si="0"/>
        <v>17</v>
      </c>
      <c r="B22" s="5" t="s">
        <v>105</v>
      </c>
      <c r="C22" s="73">
        <f t="shared" si="5"/>
        <v>28.54</v>
      </c>
      <c r="D22" s="73">
        <f t="shared" si="4"/>
        <v>12.888939999999998</v>
      </c>
      <c r="E22" s="74">
        <f t="shared" si="12"/>
        <v>-0.54839032936229859</v>
      </c>
      <c r="H22" s="5" t="s">
        <v>105</v>
      </c>
      <c r="I22" s="26">
        <v>96.025000000000006</v>
      </c>
      <c r="J22" s="26">
        <v>231.07500000000002</v>
      </c>
      <c r="K22" s="26">
        <v>216</v>
      </c>
      <c r="L22" s="26">
        <v>2.7489999999999997</v>
      </c>
      <c r="M22" s="26">
        <v>141.345</v>
      </c>
      <c r="N22" s="26">
        <v>101.99799999999999</v>
      </c>
      <c r="O22" s="26">
        <v>0.33800000000000002</v>
      </c>
      <c r="P22" s="26">
        <v>0.50900000000000001</v>
      </c>
      <c r="Q22" s="26">
        <v>3.5060000000000002</v>
      </c>
      <c r="R22" s="26">
        <v>204.721</v>
      </c>
      <c r="S22" s="26">
        <v>94</v>
      </c>
      <c r="T22" s="26">
        <v>12.699</v>
      </c>
      <c r="U22" s="26">
        <v>43.264000000000003</v>
      </c>
      <c r="V22" s="26">
        <v>122.758</v>
      </c>
      <c r="W22" s="26">
        <v>32.299999999999997</v>
      </c>
      <c r="X22" s="26">
        <v>7.6610000000000005</v>
      </c>
      <c r="Y22" s="26">
        <v>14.943999999999999</v>
      </c>
      <c r="Z22" s="26">
        <v>28.54</v>
      </c>
      <c r="AA22" s="26">
        <v>21.773</v>
      </c>
      <c r="AB22" s="26">
        <v>13.209999999999999</v>
      </c>
      <c r="AC22" s="26">
        <v>51.590219684999994</v>
      </c>
      <c r="AD22" s="26">
        <v>12.888939999999998</v>
      </c>
    </row>
    <row r="23" spans="1:30" x14ac:dyDescent="0.3">
      <c r="A23" s="1">
        <f t="shared" si="0"/>
        <v>18</v>
      </c>
      <c r="B23" s="5" t="s">
        <v>106</v>
      </c>
      <c r="C23" s="73">
        <f t="shared" si="5"/>
        <v>682.37900000000002</v>
      </c>
      <c r="D23" s="73">
        <f t="shared" si="4"/>
        <v>690.70500000000004</v>
      </c>
      <c r="E23" s="74">
        <f t="shared" si="12"/>
        <v>1.220143058329759E-2</v>
      </c>
      <c r="H23" s="5" t="s">
        <v>106</v>
      </c>
      <c r="I23" s="26">
        <v>705.99599999999998</v>
      </c>
      <c r="J23" s="26">
        <v>717.90400000000011</v>
      </c>
      <c r="K23" s="26">
        <v>672</v>
      </c>
      <c r="L23" s="26">
        <v>527.33199999999999</v>
      </c>
      <c r="M23" s="26">
        <v>791.64400000000001</v>
      </c>
      <c r="N23" s="26">
        <v>699.44800000000009</v>
      </c>
      <c r="O23" s="26">
        <v>650.74800000000005</v>
      </c>
      <c r="P23" s="26">
        <v>262.99700000000001</v>
      </c>
      <c r="Q23" s="26">
        <v>699.51299999999992</v>
      </c>
      <c r="R23" s="26">
        <v>723.97800000000007</v>
      </c>
      <c r="S23" s="26">
        <v>743</v>
      </c>
      <c r="T23" s="26">
        <v>338.56899999999996</v>
      </c>
      <c r="U23" s="26">
        <v>735.95499999999993</v>
      </c>
      <c r="V23" s="26">
        <v>738.17399999999998</v>
      </c>
      <c r="W23" s="26">
        <v>746.9</v>
      </c>
      <c r="X23" s="26">
        <v>384.94999999999993</v>
      </c>
      <c r="Y23" s="26">
        <v>736.45100000000002</v>
      </c>
      <c r="Z23" s="26">
        <v>682.37900000000002</v>
      </c>
      <c r="AA23" s="26">
        <v>705.14099999999996</v>
      </c>
      <c r="AB23" s="26">
        <v>495.72</v>
      </c>
      <c r="AC23" s="26">
        <v>699.16600000000005</v>
      </c>
      <c r="AD23" s="26">
        <v>690.70500000000004</v>
      </c>
    </row>
    <row r="24" spans="1:30" x14ac:dyDescent="0.3">
      <c r="A24" s="1">
        <f t="shared" si="0"/>
        <v>19</v>
      </c>
      <c r="B24" s="29" t="s">
        <v>107</v>
      </c>
      <c r="C24" s="76">
        <f t="shared" si="5"/>
        <v>29.41226087674421</v>
      </c>
      <c r="D24" s="76">
        <f t="shared" si="4"/>
        <v>60.150467104336997</v>
      </c>
      <c r="E24" s="80">
        <f t="shared" si="12"/>
        <v>1.0450813814145441</v>
      </c>
      <c r="H24" s="29" t="s">
        <v>107</v>
      </c>
      <c r="I24" s="33">
        <f>SUM(I25:I26)</f>
        <v>0</v>
      </c>
      <c r="J24" s="33">
        <f t="shared" ref="J24:Y24" si="13">SUM(J25:J26)</f>
        <v>0</v>
      </c>
      <c r="K24" s="33">
        <f t="shared" si="13"/>
        <v>0</v>
      </c>
      <c r="L24" s="30">
        <f t="shared" si="13"/>
        <v>27</v>
      </c>
      <c r="M24" s="30">
        <f t="shared" si="13"/>
        <v>17.866000000000003</v>
      </c>
      <c r="N24" s="30">
        <f t="shared" si="13"/>
        <v>27.525100000000002</v>
      </c>
      <c r="O24" s="30">
        <f t="shared" si="13"/>
        <v>27.0913</v>
      </c>
      <c r="P24" s="30">
        <f t="shared" si="13"/>
        <v>38.855344280000011</v>
      </c>
      <c r="Q24" s="30">
        <f t="shared" si="13"/>
        <v>18.837700000000002</v>
      </c>
      <c r="R24" s="30">
        <f t="shared" si="13"/>
        <v>18.474769999999999</v>
      </c>
      <c r="S24" s="30">
        <f t="shared" si="13"/>
        <v>28</v>
      </c>
      <c r="T24" s="30">
        <f t="shared" si="13"/>
        <v>29.851632112000004</v>
      </c>
      <c r="U24" s="30">
        <f t="shared" si="13"/>
        <v>21.848003753000004</v>
      </c>
      <c r="V24" s="30">
        <f t="shared" si="13"/>
        <v>29.300611658000001</v>
      </c>
      <c r="W24" s="30">
        <f t="shared" si="13"/>
        <v>29.4</v>
      </c>
      <c r="X24" s="30">
        <f t="shared" si="13"/>
        <v>35.836244550000004</v>
      </c>
      <c r="Y24" s="30">
        <f t="shared" si="13"/>
        <v>26.215077972368299</v>
      </c>
      <c r="Z24" s="30">
        <f t="shared" ref="Z24" si="14">SUM(Z25:Z26)</f>
        <v>29.41226087674421</v>
      </c>
      <c r="AA24" s="30">
        <f>SUM(AA25:AA26)</f>
        <v>36.519630291729221</v>
      </c>
      <c r="AB24" s="30">
        <f>SUM(AB25:AB26)</f>
        <v>43.706121845772216</v>
      </c>
      <c r="AC24" s="30">
        <f>SUM(AC25:AC26)</f>
        <v>26.576624748011</v>
      </c>
      <c r="AD24" s="30">
        <f>SUM(AD25:AD26)</f>
        <v>60.150467104336997</v>
      </c>
    </row>
    <row r="25" spans="1:30" x14ac:dyDescent="0.3">
      <c r="A25" s="1">
        <f t="shared" si="0"/>
        <v>20</v>
      </c>
      <c r="B25" s="5" t="s">
        <v>109</v>
      </c>
      <c r="C25" s="73">
        <f t="shared" si="5"/>
        <v>26.332554626443208</v>
      </c>
      <c r="D25" s="73">
        <f t="shared" si="4"/>
        <v>57.085455013663996</v>
      </c>
      <c r="E25" s="74">
        <f t="shared" si="12"/>
        <v>1.1678661954179965</v>
      </c>
      <c r="H25" s="5" t="s">
        <v>109</v>
      </c>
      <c r="I25" s="32">
        <v>0</v>
      </c>
      <c r="J25" s="32">
        <v>0</v>
      </c>
      <c r="K25" s="32">
        <v>0</v>
      </c>
      <c r="L25" s="26">
        <v>27</v>
      </c>
      <c r="M25" s="26">
        <v>17.866000000000003</v>
      </c>
      <c r="N25" s="26">
        <v>27.525100000000002</v>
      </c>
      <c r="O25" s="26">
        <v>27.0913</v>
      </c>
      <c r="P25" s="26">
        <v>38.855344280000011</v>
      </c>
      <c r="Q25" s="26">
        <v>18.837700000000002</v>
      </c>
      <c r="R25" s="26">
        <v>18.474769999999999</v>
      </c>
      <c r="S25" s="26">
        <v>28</v>
      </c>
      <c r="T25" s="26">
        <v>29.851632112000004</v>
      </c>
      <c r="U25" s="26">
        <v>21.848003753000004</v>
      </c>
      <c r="V25" s="26">
        <v>29.300611658000001</v>
      </c>
      <c r="W25" s="26">
        <v>29.4</v>
      </c>
      <c r="X25" s="26">
        <v>35.836244550000004</v>
      </c>
      <c r="Y25" s="26">
        <v>25.603801381104297</v>
      </c>
      <c r="Z25" s="26">
        <v>26.332554626443208</v>
      </c>
      <c r="AA25" s="26">
        <v>33.033485733932224</v>
      </c>
      <c r="AB25" s="26">
        <v>36.79612184577222</v>
      </c>
      <c r="AC25" s="26">
        <v>20.165046798408</v>
      </c>
      <c r="AD25" s="26">
        <v>57.085455013663996</v>
      </c>
    </row>
    <row r="26" spans="1:30" x14ac:dyDescent="0.3">
      <c r="A26" s="1">
        <f t="shared" si="0"/>
        <v>21</v>
      </c>
      <c r="B26" s="5" t="s">
        <v>108</v>
      </c>
      <c r="C26" s="68">
        <f t="shared" si="5"/>
        <v>3.0797062503010002</v>
      </c>
      <c r="D26" s="67">
        <f t="shared" si="4"/>
        <v>3.0650120906730001</v>
      </c>
      <c r="E26" s="74">
        <v>0</v>
      </c>
      <c r="H26" s="5" t="s">
        <v>108</v>
      </c>
      <c r="I26" s="32">
        <v>0</v>
      </c>
      <c r="J26" s="32">
        <v>0</v>
      </c>
      <c r="K26" s="32">
        <v>0</v>
      </c>
      <c r="L26" s="32">
        <v>0</v>
      </c>
      <c r="M26" s="32">
        <v>0</v>
      </c>
      <c r="N26" s="32">
        <v>0</v>
      </c>
      <c r="O26" s="32">
        <v>0</v>
      </c>
      <c r="P26" s="32">
        <v>0</v>
      </c>
      <c r="Q26" s="32">
        <v>0</v>
      </c>
      <c r="R26" s="32">
        <v>0</v>
      </c>
      <c r="S26" s="32">
        <v>0</v>
      </c>
      <c r="T26" s="32">
        <v>0</v>
      </c>
      <c r="U26" s="32">
        <v>0</v>
      </c>
      <c r="V26" s="32">
        <v>0</v>
      </c>
      <c r="W26" s="32">
        <v>0</v>
      </c>
      <c r="X26" s="32">
        <v>0</v>
      </c>
      <c r="Y26" s="32">
        <v>0.61127659126400002</v>
      </c>
      <c r="Z26" s="32">
        <v>3.0797062503010002</v>
      </c>
      <c r="AA26" s="32">
        <v>3.4861445577970001</v>
      </c>
      <c r="AB26" s="32">
        <v>6.91</v>
      </c>
      <c r="AC26" s="32">
        <v>6.4115779496030001</v>
      </c>
      <c r="AD26" s="32">
        <v>3.0650120906730001</v>
      </c>
    </row>
    <row r="27" spans="1:30" x14ac:dyDescent="0.3">
      <c r="A27" s="1">
        <f t="shared" si="0"/>
        <v>22</v>
      </c>
      <c r="B27" s="29" t="s">
        <v>81</v>
      </c>
      <c r="C27" s="69">
        <f t="shared" si="5"/>
        <v>0</v>
      </c>
      <c r="D27" s="69">
        <f t="shared" si="4"/>
        <v>0</v>
      </c>
      <c r="E27" s="80">
        <v>0</v>
      </c>
      <c r="H27" s="29" t="s">
        <v>81</v>
      </c>
      <c r="I27" s="32">
        <v>0</v>
      </c>
      <c r="J27" s="32">
        <v>0</v>
      </c>
      <c r="K27" s="30">
        <v>23.8</v>
      </c>
      <c r="L27" s="30">
        <v>119.8</v>
      </c>
      <c r="M27" s="32">
        <v>0</v>
      </c>
      <c r="N27" s="32">
        <v>0</v>
      </c>
      <c r="O27" s="32">
        <v>0</v>
      </c>
      <c r="P27" s="30">
        <v>124</v>
      </c>
      <c r="Q27" s="32">
        <v>0</v>
      </c>
      <c r="R27" s="32">
        <v>0</v>
      </c>
      <c r="S27" s="30">
        <v>433</v>
      </c>
      <c r="T27" s="30">
        <v>490</v>
      </c>
      <c r="U27" s="32">
        <v>0</v>
      </c>
      <c r="V27" s="32">
        <v>0</v>
      </c>
      <c r="W27" s="30">
        <v>52.114804692825103</v>
      </c>
      <c r="X27" s="33">
        <v>0</v>
      </c>
      <c r="Y27" s="33">
        <v>0</v>
      </c>
      <c r="Z27" s="33">
        <v>0</v>
      </c>
      <c r="AA27" s="33">
        <v>65.028804890240636</v>
      </c>
      <c r="AB27" s="33">
        <v>29.296061395493101</v>
      </c>
      <c r="AC27" s="33">
        <v>0</v>
      </c>
      <c r="AD27" s="33">
        <v>0</v>
      </c>
    </row>
    <row r="28" spans="1:30" ht="5.25" customHeight="1" x14ac:dyDescent="0.3">
      <c r="A28" s="1">
        <f t="shared" si="0"/>
        <v>23</v>
      </c>
      <c r="C28" s="78">
        <f t="shared" si="5"/>
        <v>0</v>
      </c>
      <c r="D28" s="78">
        <f t="shared" si="4"/>
        <v>0</v>
      </c>
      <c r="E28" s="70"/>
      <c r="I28" s="27"/>
      <c r="J28" s="27"/>
      <c r="K28" s="27"/>
      <c r="L28" s="27"/>
      <c r="M28" s="27"/>
      <c r="N28" s="27"/>
      <c r="O28" s="27"/>
      <c r="P28" s="27"/>
      <c r="Q28" s="27"/>
      <c r="R28" s="27"/>
      <c r="S28" s="27"/>
      <c r="T28" s="27"/>
      <c r="U28" s="27"/>
      <c r="V28" s="27"/>
      <c r="W28" s="27"/>
      <c r="X28" s="27"/>
      <c r="Y28" s="27"/>
      <c r="Z28" s="27"/>
      <c r="AA28" s="27"/>
      <c r="AB28" s="27"/>
      <c r="AC28" s="27"/>
      <c r="AD28" s="27"/>
    </row>
    <row r="29" spans="1:30" x14ac:dyDescent="0.3">
      <c r="A29" s="1">
        <f t="shared" si="0"/>
        <v>24</v>
      </c>
      <c r="B29" s="21" t="s">
        <v>82</v>
      </c>
      <c r="C29" s="81">
        <f t="shared" si="5"/>
        <v>517.42100000000005</v>
      </c>
      <c r="D29" s="81">
        <f t="shared" si="4"/>
        <v>572.29530375894296</v>
      </c>
      <c r="E29" s="82">
        <f>D29/C29-1</f>
        <v>0.10605349175805179</v>
      </c>
      <c r="H29" s="21" t="s">
        <v>82</v>
      </c>
      <c r="I29" s="28">
        <f>I13-I27</f>
        <v>218.96751644732302</v>
      </c>
      <c r="J29" s="28">
        <f t="shared" ref="J29:W29" si="15">J13-J27</f>
        <v>424.53248355267698</v>
      </c>
      <c r="K29" s="28">
        <f t="shared" si="15"/>
        <v>123.2</v>
      </c>
      <c r="L29" s="28">
        <f t="shared" si="15"/>
        <v>-119.8</v>
      </c>
      <c r="M29" s="28">
        <f t="shared" si="15"/>
        <v>327</v>
      </c>
      <c r="N29" s="28">
        <f t="shared" si="15"/>
        <v>484</v>
      </c>
      <c r="O29" s="28">
        <f t="shared" si="15"/>
        <v>455.71628899999996</v>
      </c>
      <c r="P29" s="28">
        <f t="shared" si="15"/>
        <v>53.761164545645784</v>
      </c>
      <c r="Q29" s="28">
        <f t="shared" si="15"/>
        <v>402.79276660438609</v>
      </c>
      <c r="R29" s="28">
        <f t="shared" si="15"/>
        <v>512.70931975909969</v>
      </c>
      <c r="S29" s="28">
        <f t="shared" si="15"/>
        <v>-433</v>
      </c>
      <c r="T29" s="28">
        <f t="shared" si="15"/>
        <v>-490</v>
      </c>
      <c r="U29" s="28">
        <f t="shared" si="15"/>
        <v>355.57419945754248</v>
      </c>
      <c r="V29" s="28">
        <f t="shared" si="15"/>
        <v>476.44857716393153</v>
      </c>
      <c r="W29" s="28">
        <f t="shared" si="15"/>
        <v>163.68519530717492</v>
      </c>
      <c r="X29" s="28">
        <f t="shared" ref="X29:Y29" si="16">X13-X27</f>
        <v>345.10789999999997</v>
      </c>
      <c r="Y29" s="28">
        <f t="shared" si="16"/>
        <v>524.51625259600632</v>
      </c>
      <c r="Z29" s="28">
        <f>Z13-Z27</f>
        <v>517.42100000000005</v>
      </c>
      <c r="AA29" s="28">
        <f>AA13-AA27</f>
        <v>49.138423481814684</v>
      </c>
      <c r="AB29" s="28">
        <f t="shared" ref="AB29:AD29" si="17">AB13-AB27</f>
        <v>127.18293860450689</v>
      </c>
      <c r="AC29" s="28">
        <f t="shared" si="17"/>
        <v>672.66673193889369</v>
      </c>
      <c r="AD29" s="28">
        <f t="shared" si="17"/>
        <v>572.29530375894296</v>
      </c>
    </row>
    <row r="30" spans="1:30" x14ac:dyDescent="0.3">
      <c r="C30" s="70"/>
      <c r="D30" s="70"/>
      <c r="E30" s="70"/>
    </row>
    <row r="34" spans="1:30" ht="23.25" x14ac:dyDescent="0.35">
      <c r="B34" s="13" t="s">
        <v>36</v>
      </c>
      <c r="C34" s="14"/>
      <c r="D34" s="14"/>
      <c r="E34" s="14"/>
      <c r="H34" s="13" t="s">
        <v>36</v>
      </c>
      <c r="I34" s="14"/>
      <c r="J34" s="14"/>
      <c r="K34" s="14"/>
      <c r="L34" s="14"/>
      <c r="M34" s="14"/>
      <c r="N34" s="14"/>
      <c r="O34" s="14"/>
      <c r="P34" s="14"/>
      <c r="Q34" s="14"/>
      <c r="R34" s="14"/>
      <c r="S34" s="14"/>
      <c r="T34" s="14"/>
      <c r="U34" s="14"/>
      <c r="V34" s="14"/>
      <c r="W34" s="14"/>
      <c r="X34" s="14"/>
      <c r="Y34" s="14"/>
      <c r="Z34" s="14"/>
      <c r="AA34" s="14"/>
      <c r="AB34" s="14"/>
      <c r="AC34" s="14"/>
      <c r="AD34" s="14"/>
    </row>
    <row r="36" spans="1:30" x14ac:dyDescent="0.3">
      <c r="A36" s="1">
        <v>1</v>
      </c>
      <c r="B36" s="3" t="s">
        <v>89</v>
      </c>
      <c r="C36" s="84" t="s">
        <v>110</v>
      </c>
      <c r="D36" s="84" t="s">
        <v>118</v>
      </c>
      <c r="E36" s="84" t="s">
        <v>29</v>
      </c>
      <c r="H36" s="3" t="s">
        <v>71</v>
      </c>
      <c r="I36" s="84" t="s">
        <v>55</v>
      </c>
      <c r="J36" s="84" t="s">
        <v>56</v>
      </c>
      <c r="K36" s="84" t="s">
        <v>57</v>
      </c>
      <c r="L36" s="84" t="s">
        <v>58</v>
      </c>
      <c r="M36" s="84" t="s">
        <v>59</v>
      </c>
      <c r="N36" s="84" t="s">
        <v>60</v>
      </c>
      <c r="O36" s="84" t="s">
        <v>61</v>
      </c>
      <c r="P36" s="84" t="s">
        <v>62</v>
      </c>
      <c r="Q36" s="84" t="s">
        <v>54</v>
      </c>
      <c r="R36" s="84" t="s">
        <v>53</v>
      </c>
      <c r="S36" s="84" t="s">
        <v>52</v>
      </c>
      <c r="T36" s="84" t="s">
        <v>51</v>
      </c>
      <c r="U36" s="84" t="s">
        <v>50</v>
      </c>
      <c r="V36" s="84" t="s">
        <v>49</v>
      </c>
      <c r="W36" s="84" t="s">
        <v>48</v>
      </c>
      <c r="X36" s="84" t="s">
        <v>99</v>
      </c>
      <c r="Y36" s="84" t="s">
        <v>102</v>
      </c>
      <c r="Z36" s="84" t="s">
        <v>110</v>
      </c>
      <c r="AA36" s="84" t="s">
        <v>111</v>
      </c>
      <c r="AB36" s="84" t="s">
        <v>112</v>
      </c>
      <c r="AC36" s="84" t="s">
        <v>114</v>
      </c>
      <c r="AD36" s="84" t="s">
        <v>118</v>
      </c>
    </row>
    <row r="37" spans="1:30" x14ac:dyDescent="0.3">
      <c r="A37" s="1">
        <v>2</v>
      </c>
      <c r="B37" s="3" t="s">
        <v>72</v>
      </c>
      <c r="C37" s="84"/>
      <c r="D37" s="84"/>
      <c r="E37" s="84"/>
      <c r="H37" s="3" t="s">
        <v>72</v>
      </c>
      <c r="I37" s="84"/>
      <c r="J37" s="84"/>
      <c r="K37" s="84"/>
      <c r="L37" s="84"/>
      <c r="M37" s="84"/>
      <c r="N37" s="84"/>
      <c r="O37" s="84"/>
      <c r="P37" s="84"/>
      <c r="Q37" s="84"/>
      <c r="R37" s="84"/>
      <c r="S37" s="84"/>
      <c r="T37" s="84"/>
      <c r="U37" s="84"/>
      <c r="V37" s="84"/>
      <c r="W37" s="84"/>
      <c r="X37" s="84"/>
      <c r="Y37" s="84"/>
      <c r="Z37" s="84"/>
      <c r="AA37" s="84"/>
      <c r="AB37" s="84"/>
      <c r="AC37" s="84"/>
      <c r="AD37" s="84"/>
    </row>
    <row r="38" spans="1:30" x14ac:dyDescent="0.3">
      <c r="A38" s="1">
        <v>3</v>
      </c>
    </row>
    <row r="39" spans="1:30" x14ac:dyDescent="0.3">
      <c r="A39" s="1">
        <v>4</v>
      </c>
      <c r="B39" s="6" t="s">
        <v>73</v>
      </c>
      <c r="C39" s="25">
        <f>+HLOOKUP($C$36,$H$36:$AK$51,A39,FALSE)</f>
        <v>978.76345776423216</v>
      </c>
      <c r="D39" s="25">
        <f>+HLOOKUP($D$36,H36:AK51,A39,FALSE)</f>
        <v>983.01939262984422</v>
      </c>
      <c r="E39" s="41">
        <f>D39/C39-1</f>
        <v>4.3482772388476754E-3</v>
      </c>
      <c r="H39" s="6" t="s">
        <v>73</v>
      </c>
      <c r="I39" s="34"/>
      <c r="J39" s="34"/>
      <c r="K39" s="34"/>
      <c r="L39" s="34"/>
      <c r="M39" s="34"/>
      <c r="N39" s="34"/>
      <c r="O39" s="34"/>
      <c r="P39" s="34"/>
      <c r="Q39" s="25">
        <f>Q41+Q42</f>
        <v>896.15477393720892</v>
      </c>
      <c r="R39" s="25">
        <f t="shared" ref="R39:W39" si="18">R41+R42</f>
        <v>966.33258163299797</v>
      </c>
      <c r="S39" s="25">
        <f t="shared" si="18"/>
        <v>931.47193074071765</v>
      </c>
      <c r="T39" s="25">
        <f t="shared" si="18"/>
        <v>1184.7649773808278</v>
      </c>
      <c r="U39" s="25">
        <f t="shared" si="18"/>
        <v>788.82634795288288</v>
      </c>
      <c r="V39" s="25">
        <f t="shared" si="18"/>
        <v>1049</v>
      </c>
      <c r="W39" s="25">
        <f t="shared" si="18"/>
        <v>1163.3114928183011</v>
      </c>
      <c r="X39" s="25">
        <f t="shared" ref="X39:Y39" si="19">X41+X42</f>
        <v>1110.2813305312957</v>
      </c>
      <c r="Y39" s="25">
        <f t="shared" si="19"/>
        <v>809.94496876190215</v>
      </c>
      <c r="Z39" s="25">
        <f t="shared" ref="Z39:AD39" si="20">Z41+Z42</f>
        <v>978.76345776423216</v>
      </c>
      <c r="AA39" s="25">
        <f t="shared" si="20"/>
        <v>1096.5211357750077</v>
      </c>
      <c r="AB39" s="25">
        <f t="shared" si="20"/>
        <v>1159.7479302785923</v>
      </c>
      <c r="AC39" s="25">
        <f t="shared" si="20"/>
        <v>941.93401631200777</v>
      </c>
      <c r="AD39" s="25">
        <f t="shared" si="20"/>
        <v>983.01939262984422</v>
      </c>
    </row>
    <row r="40" spans="1:30" ht="6" customHeight="1" x14ac:dyDescent="0.3">
      <c r="A40" s="1">
        <v>5</v>
      </c>
      <c r="I40" s="35"/>
      <c r="J40" s="35"/>
      <c r="K40" s="35"/>
      <c r="L40" s="35"/>
      <c r="M40" s="35"/>
      <c r="N40" s="35"/>
      <c r="O40" s="35"/>
      <c r="P40" s="35"/>
    </row>
    <row r="41" spans="1:30" x14ac:dyDescent="0.3">
      <c r="A41" s="1">
        <v>6</v>
      </c>
      <c r="B41" s="5" t="s">
        <v>83</v>
      </c>
      <c r="C41" s="26">
        <f t="shared" ref="C41:C51" si="21">+HLOOKUP($C$36,$H$36:$AK$51,A41,FALSE)</f>
        <v>805.13023617018166</v>
      </c>
      <c r="D41" s="26">
        <f>+HLOOKUP($D$36,$H$36:$BB$51,A41,FALSE)</f>
        <v>706.19687364754577</v>
      </c>
      <c r="E41" s="39">
        <f>+D41/C41-1</f>
        <v>-0.12287870716822036</v>
      </c>
      <c r="F41" s="62"/>
      <c r="H41" s="5" t="s">
        <v>83</v>
      </c>
      <c r="I41" s="36"/>
      <c r="J41" s="36"/>
      <c r="K41" s="36"/>
      <c r="L41" s="36"/>
      <c r="M41" s="36"/>
      <c r="N41" s="36"/>
      <c r="O41" s="36"/>
      <c r="P41" s="36"/>
      <c r="Q41" s="26">
        <v>896.15477393720892</v>
      </c>
      <c r="R41" s="26">
        <v>895</v>
      </c>
      <c r="S41" s="26">
        <v>660.8546595771212</v>
      </c>
      <c r="T41" s="26">
        <v>701.74175820562186</v>
      </c>
      <c r="U41" s="26">
        <v>670.14557932067135</v>
      </c>
      <c r="V41" s="26">
        <v>713</v>
      </c>
      <c r="W41" s="26">
        <v>808.7313863700075</v>
      </c>
      <c r="X41" s="26">
        <v>820.11765848199025</v>
      </c>
      <c r="Y41" s="26">
        <v>754.11900053134241</v>
      </c>
      <c r="Z41" s="26">
        <v>805.13023617018166</v>
      </c>
      <c r="AA41" s="26">
        <v>725.43641713442707</v>
      </c>
      <c r="AB41" s="26">
        <v>716.78307257861093</v>
      </c>
      <c r="AC41" s="26">
        <v>752.74025687093615</v>
      </c>
      <c r="AD41" s="26">
        <v>706.19687364754577</v>
      </c>
    </row>
    <row r="42" spans="1:30" x14ac:dyDescent="0.3">
      <c r="A42" s="1">
        <v>7</v>
      </c>
      <c r="B42" s="29" t="s">
        <v>76</v>
      </c>
      <c r="C42" s="30">
        <f t="shared" si="21"/>
        <v>173.63322159405053</v>
      </c>
      <c r="D42" s="30">
        <f>+HLOOKUP($D$36,$H$36:$BB$51,A42,FALSE)</f>
        <v>276.82251898229845</v>
      </c>
      <c r="E42" s="53">
        <f t="shared" ref="E42" si="22">+D42/C42-1</f>
        <v>0.5942946657379975</v>
      </c>
      <c r="H42" s="29" t="s">
        <v>76</v>
      </c>
      <c r="I42" s="37"/>
      <c r="J42" s="37"/>
      <c r="K42" s="37"/>
      <c r="L42" s="37"/>
      <c r="M42" s="37"/>
      <c r="N42" s="37"/>
      <c r="O42" s="37"/>
      <c r="P42" s="37"/>
      <c r="Q42" s="37">
        <v>0</v>
      </c>
      <c r="R42" s="30">
        <v>71.332581632997972</v>
      </c>
      <c r="S42" s="30">
        <v>270.61727116359646</v>
      </c>
      <c r="T42" s="30">
        <v>483.0232191752059</v>
      </c>
      <c r="U42" s="30">
        <v>118.68076863221151</v>
      </c>
      <c r="V42" s="30">
        <v>336</v>
      </c>
      <c r="W42" s="30">
        <v>354.58010644829352</v>
      </c>
      <c r="X42" s="30">
        <v>290.16367204930543</v>
      </c>
      <c r="Y42" s="30">
        <v>55.825968230559759</v>
      </c>
      <c r="Z42" s="30">
        <v>173.63322159405053</v>
      </c>
      <c r="AA42" s="30">
        <v>371.0847186405806</v>
      </c>
      <c r="AB42" s="30">
        <v>442.96485769998151</v>
      </c>
      <c r="AC42" s="30">
        <v>189.19375944107159</v>
      </c>
      <c r="AD42" s="30">
        <v>276.82251898229845</v>
      </c>
    </row>
    <row r="43" spans="1:30" ht="6" customHeight="1" x14ac:dyDescent="0.3">
      <c r="A43" s="1">
        <v>8</v>
      </c>
      <c r="C43" s="27">
        <f t="shared" si="21"/>
        <v>0</v>
      </c>
      <c r="D43" s="27"/>
      <c r="I43" s="35"/>
      <c r="J43" s="35"/>
      <c r="K43" s="35"/>
      <c r="L43" s="35"/>
      <c r="M43" s="35"/>
      <c r="N43" s="35"/>
      <c r="O43" s="35"/>
      <c r="P43" s="35"/>
      <c r="Q43" s="27"/>
      <c r="R43" s="27"/>
      <c r="S43" s="27"/>
      <c r="T43" s="27"/>
      <c r="U43" s="27"/>
      <c r="V43" s="27"/>
      <c r="W43" s="27"/>
      <c r="X43" s="27"/>
      <c r="Y43" s="27"/>
      <c r="Z43" s="27"/>
      <c r="AA43" s="27"/>
      <c r="AB43" s="27"/>
      <c r="AC43" s="27"/>
      <c r="AD43" s="27"/>
    </row>
    <row r="44" spans="1:30" x14ac:dyDescent="0.3">
      <c r="A44" s="1">
        <v>9</v>
      </c>
      <c r="B44" s="5" t="s">
        <v>77</v>
      </c>
      <c r="C44" s="26">
        <f t="shared" si="21"/>
        <v>550.05621080812159</v>
      </c>
      <c r="D44" s="26">
        <f>+HLOOKUP($D$36,$H$36:$BB$51,A44,FALSE)</f>
        <v>556.62828233456105</v>
      </c>
      <c r="E44" s="39">
        <f t="shared" ref="E44" si="23">+D44/C44-1</f>
        <v>1.1947999854022173E-2</v>
      </c>
      <c r="H44" s="5" t="s">
        <v>77</v>
      </c>
      <c r="I44" s="36"/>
      <c r="J44" s="36"/>
      <c r="K44" s="36"/>
      <c r="L44" s="36"/>
      <c r="M44" s="36"/>
      <c r="N44" s="36"/>
      <c r="O44" s="36"/>
      <c r="P44" s="36"/>
      <c r="Q44" s="26">
        <v>561</v>
      </c>
      <c r="R44" s="26">
        <v>561.85</v>
      </c>
      <c r="S44" s="26">
        <v>563</v>
      </c>
      <c r="T44" s="26">
        <v>563.79843672169034</v>
      </c>
      <c r="U44" s="26">
        <v>562.0491675086156</v>
      </c>
      <c r="V44" s="26">
        <v>555</v>
      </c>
      <c r="W44" s="26">
        <v>556.32527854111379</v>
      </c>
      <c r="X44" s="26">
        <v>553.79857139638716</v>
      </c>
      <c r="Y44" s="26">
        <v>551.44933226868807</v>
      </c>
      <c r="Z44" s="26">
        <v>550.05621080812159</v>
      </c>
      <c r="AA44" s="26">
        <v>552.75187275807718</v>
      </c>
      <c r="AB44" s="26">
        <v>553.50897294893377</v>
      </c>
      <c r="AC44" s="26">
        <v>554.83417320313413</v>
      </c>
      <c r="AD44" s="26">
        <v>556.62828233456105</v>
      </c>
    </row>
    <row r="45" spans="1:30" ht="12.75" customHeight="1" x14ac:dyDescent="0.3">
      <c r="A45" s="1">
        <v>10</v>
      </c>
      <c r="I45" s="35"/>
      <c r="J45" s="35"/>
      <c r="K45" s="35"/>
      <c r="L45" s="35"/>
      <c r="M45" s="35"/>
      <c r="N45" s="35"/>
      <c r="O45" s="35"/>
      <c r="P45" s="35"/>
    </row>
    <row r="46" spans="1:30" x14ac:dyDescent="0.3">
      <c r="A46" s="1">
        <v>11</v>
      </c>
      <c r="B46" s="6" t="s">
        <v>78</v>
      </c>
      <c r="C46" s="25">
        <f t="shared" si="21"/>
        <v>1002.3766853551615</v>
      </c>
      <c r="D46" s="25">
        <f t="shared" ref="D46:D51" si="24">+HLOOKUP($D$36,$H$36:$BB$51,A46,FALSE)</f>
        <v>937.26247630600551</v>
      </c>
      <c r="E46" s="41">
        <f>D46/C46-1</f>
        <v>-6.4959819996296853E-2</v>
      </c>
      <c r="H46" s="6" t="s">
        <v>78</v>
      </c>
      <c r="I46" s="34"/>
      <c r="J46" s="34"/>
      <c r="K46" s="34"/>
      <c r="L46" s="34"/>
      <c r="M46" s="34"/>
      <c r="N46" s="34"/>
      <c r="O46" s="34"/>
      <c r="P46" s="34"/>
      <c r="Q46" s="25">
        <v>663</v>
      </c>
      <c r="R46" s="25">
        <v>800</v>
      </c>
      <c r="S46" s="25">
        <v>906.60296019489226</v>
      </c>
      <c r="T46" s="25">
        <v>1211</v>
      </c>
      <c r="U46" s="25">
        <v>715.32866794394647</v>
      </c>
      <c r="V46" s="25">
        <v>1074</v>
      </c>
      <c r="W46" s="25">
        <v>1188.0124632138675</v>
      </c>
      <c r="X46" s="25">
        <f t="shared" ref="X46:AD46" si="25">X48</f>
        <v>1135.4340123571928</v>
      </c>
      <c r="Y46" s="25">
        <f t="shared" si="25"/>
        <v>604.51495743320493</v>
      </c>
      <c r="Z46" s="25">
        <f t="shared" si="25"/>
        <v>1002.3766853551615</v>
      </c>
      <c r="AA46" s="25">
        <f t="shared" si="25"/>
        <v>1120.5979260393226</v>
      </c>
      <c r="AB46" s="25">
        <f t="shared" si="25"/>
        <v>1186.0360253896108</v>
      </c>
      <c r="AC46" s="25">
        <f t="shared" si="25"/>
        <v>931.62044726669956</v>
      </c>
      <c r="AD46" s="25">
        <f t="shared" si="25"/>
        <v>937.26247630600551</v>
      </c>
    </row>
    <row r="47" spans="1:30" ht="6" customHeight="1" x14ac:dyDescent="0.3">
      <c r="A47" s="1">
        <v>12</v>
      </c>
      <c r="D47" s="1">
        <f t="shared" si="24"/>
        <v>0</v>
      </c>
      <c r="I47" s="35"/>
      <c r="J47" s="35"/>
      <c r="K47" s="35"/>
      <c r="L47" s="35"/>
      <c r="M47" s="35"/>
      <c r="N47" s="35"/>
      <c r="O47" s="35"/>
      <c r="P47" s="35"/>
    </row>
    <row r="48" spans="1:30" x14ac:dyDescent="0.3">
      <c r="A48" s="1">
        <v>13</v>
      </c>
      <c r="B48" s="5" t="s">
        <v>80</v>
      </c>
      <c r="C48" s="26">
        <f t="shared" si="21"/>
        <v>1002.3766853551615</v>
      </c>
      <c r="D48" s="26">
        <f t="shared" si="24"/>
        <v>937.26247630600551</v>
      </c>
      <c r="E48" s="39">
        <f t="shared" ref="E48" si="26">+D48/C48-1</f>
        <v>-6.4959819996296853E-2</v>
      </c>
      <c r="H48" s="5" t="s">
        <v>80</v>
      </c>
      <c r="I48" s="36"/>
      <c r="J48" s="36"/>
      <c r="K48" s="36"/>
      <c r="L48" s="36"/>
      <c r="M48" s="36"/>
      <c r="N48" s="36"/>
      <c r="O48" s="36"/>
      <c r="P48" s="36"/>
      <c r="Q48" s="26">
        <v>663</v>
      </c>
      <c r="R48" s="26">
        <v>800</v>
      </c>
      <c r="S48" s="26">
        <v>906.60296019489226</v>
      </c>
      <c r="T48" s="26">
        <v>1211</v>
      </c>
      <c r="U48" s="26">
        <v>715.32866794394647</v>
      </c>
      <c r="V48" s="26">
        <v>1074</v>
      </c>
      <c r="W48" s="26">
        <v>1188.0124632138675</v>
      </c>
      <c r="X48" s="26">
        <v>1135.4340123571928</v>
      </c>
      <c r="Y48" s="26">
        <v>604.51495743320493</v>
      </c>
      <c r="Z48" s="26">
        <v>1002.3766853551615</v>
      </c>
      <c r="AA48" s="26">
        <v>1120.5979260393226</v>
      </c>
      <c r="AB48" s="26">
        <v>1186.0360253896108</v>
      </c>
      <c r="AC48" s="26">
        <v>931.62044726669956</v>
      </c>
      <c r="AD48" s="26">
        <v>937.26247630600551</v>
      </c>
    </row>
    <row r="49" spans="1:30" x14ac:dyDescent="0.3">
      <c r="A49" s="1">
        <v>14</v>
      </c>
      <c r="B49" s="29" t="s">
        <v>81</v>
      </c>
      <c r="C49" s="58">
        <f t="shared" ref="C49" si="27">+HLOOKUP($C$36,$H$36:$AK$51,A49,FALSE)</f>
        <v>0</v>
      </c>
      <c r="D49" s="58">
        <f t="shared" ref="D49" si="28">+HLOOKUP($D$36,$H$36:$BB$51,A49,FALSE)</f>
        <v>67.834889965652422</v>
      </c>
      <c r="E49" s="65">
        <v>0</v>
      </c>
      <c r="H49" s="29" t="s">
        <v>81</v>
      </c>
      <c r="I49" s="37"/>
      <c r="J49" s="37"/>
      <c r="K49" s="37"/>
      <c r="L49" s="37"/>
      <c r="M49" s="37"/>
      <c r="N49" s="37"/>
      <c r="O49" s="37"/>
      <c r="P49" s="37"/>
      <c r="Q49" s="30">
        <v>117.26579863620114</v>
      </c>
      <c r="R49" s="30">
        <v>146.8918117608051</v>
      </c>
      <c r="S49" s="30">
        <v>46.406399015580696</v>
      </c>
      <c r="T49" s="33">
        <v>0</v>
      </c>
      <c r="U49" s="30">
        <v>92.800363549785231</v>
      </c>
      <c r="V49" s="33">
        <v>0</v>
      </c>
      <c r="W49" s="33">
        <v>0</v>
      </c>
      <c r="X49" s="33">
        <v>0</v>
      </c>
      <c r="Y49" s="33">
        <v>209.5338502374496</v>
      </c>
      <c r="Z49" s="33">
        <v>0</v>
      </c>
      <c r="AA49" s="33">
        <v>0</v>
      </c>
      <c r="AB49" s="33">
        <v>0</v>
      </c>
      <c r="AC49" s="33">
        <v>33.27100362594868</v>
      </c>
      <c r="AD49" s="33">
        <v>67.834889965652422</v>
      </c>
    </row>
    <row r="50" spans="1:30" ht="6" customHeight="1" x14ac:dyDescent="0.3">
      <c r="A50" s="1">
        <v>15</v>
      </c>
      <c r="C50" s="27">
        <f t="shared" si="21"/>
        <v>0</v>
      </c>
      <c r="D50" s="27">
        <f t="shared" si="24"/>
        <v>0</v>
      </c>
      <c r="I50" s="35"/>
      <c r="J50" s="35"/>
      <c r="K50" s="35"/>
      <c r="L50" s="35"/>
      <c r="M50" s="35"/>
      <c r="N50" s="35"/>
      <c r="O50" s="35"/>
      <c r="P50" s="35"/>
      <c r="Q50" s="27"/>
      <c r="R50" s="27"/>
      <c r="S50" s="27"/>
      <c r="T50" s="27"/>
      <c r="U50" s="27"/>
      <c r="V50" s="27"/>
      <c r="W50" s="27"/>
      <c r="X50" s="27"/>
      <c r="Y50" s="27"/>
      <c r="Z50" s="27"/>
      <c r="AA50" s="27"/>
      <c r="AB50" s="27">
        <v>0</v>
      </c>
      <c r="AC50" s="27"/>
      <c r="AD50" s="27"/>
    </row>
    <row r="51" spans="1:30" x14ac:dyDescent="0.3">
      <c r="A51" s="1">
        <v>16</v>
      </c>
      <c r="B51" s="28" t="s">
        <v>82</v>
      </c>
      <c r="C51" s="28">
        <f t="shared" si="21"/>
        <v>173.63322159405053</v>
      </c>
      <c r="D51" s="28">
        <f t="shared" si="24"/>
        <v>208.98762901664603</v>
      </c>
      <c r="E51" s="64">
        <f>+D51/C51-1</f>
        <v>0.20361545502653344</v>
      </c>
      <c r="H51" s="21" t="s">
        <v>82</v>
      </c>
      <c r="I51" s="38"/>
      <c r="J51" s="38"/>
      <c r="K51" s="38"/>
      <c r="L51" s="38"/>
      <c r="M51" s="38"/>
      <c r="N51" s="38"/>
      <c r="O51" s="38"/>
      <c r="P51" s="38"/>
      <c r="Q51" s="28">
        <v>-117.26579863620114</v>
      </c>
      <c r="R51" s="28">
        <v>-75.559230127807126</v>
      </c>
      <c r="S51" s="28">
        <v>224.21087214801599</v>
      </c>
      <c r="T51" s="28">
        <v>483.0232191752059</v>
      </c>
      <c r="U51" s="28">
        <v>25.880405082426279</v>
      </c>
      <c r="V51" s="28">
        <v>336</v>
      </c>
      <c r="W51" s="28">
        <v>354.58010644829352</v>
      </c>
      <c r="X51" s="28">
        <v>355.58010644829398</v>
      </c>
      <c r="Y51" s="28">
        <v>-153.70788200688983</v>
      </c>
      <c r="Z51" s="28">
        <f>Z42-Z49</f>
        <v>173.63322159405053</v>
      </c>
      <c r="AA51" s="28">
        <f>AA42-AA49</f>
        <v>371.0847186405806</v>
      </c>
      <c r="AB51" s="28">
        <f>AB42-AB49</f>
        <v>442.96485769998151</v>
      </c>
      <c r="AC51" s="28">
        <f>AC42-AC49</f>
        <v>155.92275581512291</v>
      </c>
      <c r="AD51" s="28">
        <f>AD42-AD49</f>
        <v>208.98762901664603</v>
      </c>
    </row>
    <row r="53" spans="1:30" x14ac:dyDescent="0.3">
      <c r="D53" s="31"/>
    </row>
  </sheetData>
  <mergeCells count="50">
    <mergeCell ref="AB6:AB7"/>
    <mergeCell ref="AB36:AB37"/>
    <mergeCell ref="Z6:Z7"/>
    <mergeCell ref="Z36:Z37"/>
    <mergeCell ref="Y6:Y7"/>
    <mergeCell ref="Y36:Y37"/>
    <mergeCell ref="AA6:AA7"/>
    <mergeCell ref="AA36:AA37"/>
    <mergeCell ref="T6:T7"/>
    <mergeCell ref="W36:W37"/>
    <mergeCell ref="Q36:Q37"/>
    <mergeCell ref="R36:R37"/>
    <mergeCell ref="S36:S37"/>
    <mergeCell ref="T36:T37"/>
    <mergeCell ref="U36:U37"/>
    <mergeCell ref="V36:V37"/>
    <mergeCell ref="V6:V7"/>
    <mergeCell ref="W6:W7"/>
    <mergeCell ref="U6:U7"/>
    <mergeCell ref="Q6:Q7"/>
    <mergeCell ref="R6:R7"/>
    <mergeCell ref="S6:S7"/>
    <mergeCell ref="K6:K7"/>
    <mergeCell ref="C36:C37"/>
    <mergeCell ref="D36:D37"/>
    <mergeCell ref="E36:E37"/>
    <mergeCell ref="I36:I37"/>
    <mergeCell ref="J36:J37"/>
    <mergeCell ref="K36:K37"/>
    <mergeCell ref="C6:C7"/>
    <mergeCell ref="D6:D7"/>
    <mergeCell ref="E6:E7"/>
    <mergeCell ref="I6:I7"/>
    <mergeCell ref="J6:J7"/>
    <mergeCell ref="AD6:AD7"/>
    <mergeCell ref="AD36:AD37"/>
    <mergeCell ref="AC6:AC7"/>
    <mergeCell ref="AC36:AC37"/>
    <mergeCell ref="L36:L37"/>
    <mergeCell ref="M36:M37"/>
    <mergeCell ref="N36:N37"/>
    <mergeCell ref="O36:O37"/>
    <mergeCell ref="P36:P37"/>
    <mergeCell ref="L6:L7"/>
    <mergeCell ref="M6:M7"/>
    <mergeCell ref="N6:N7"/>
    <mergeCell ref="O6:O7"/>
    <mergeCell ref="P6:P7"/>
    <mergeCell ref="X6:X7"/>
    <mergeCell ref="X36:X37"/>
  </mergeCells>
  <pageMargins left="0.7" right="0.7" top="0.75" bottom="0.75" header="0.3" footer="0.3"/>
  <pageSetup orientation="portrait" r:id="rId1"/>
  <ignoredErrors>
    <ignoredError sqref="I24 J24:AD24" formulaRange="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4:R48"/>
  <sheetViews>
    <sheetView topLeftCell="B1" zoomScale="90" zoomScaleNormal="90" workbookViewId="0">
      <selection activeCell="F35" sqref="F35"/>
    </sheetView>
  </sheetViews>
  <sheetFormatPr baseColWidth="10" defaultColWidth="11.42578125" defaultRowHeight="15" x14ac:dyDescent="0.3"/>
  <cols>
    <col min="1" max="1" width="0" style="1" hidden="1" customWidth="1"/>
    <col min="2" max="2" width="57.28515625" style="1" customWidth="1"/>
    <col min="3" max="7" width="11.42578125" style="1"/>
    <col min="8" max="8" width="57.28515625" style="1" customWidth="1"/>
    <col min="9" max="16384" width="11.42578125" style="1"/>
  </cols>
  <sheetData>
    <row r="4" spans="1:18" ht="23.25" x14ac:dyDescent="0.35">
      <c r="B4" s="13" t="s">
        <v>47</v>
      </c>
      <c r="C4" s="14"/>
      <c r="D4" s="14"/>
      <c r="E4" s="14"/>
      <c r="H4" s="13" t="s">
        <v>47</v>
      </c>
      <c r="I4" s="14"/>
      <c r="J4" s="14"/>
      <c r="K4" s="14"/>
      <c r="L4" s="14"/>
      <c r="M4" s="14"/>
      <c r="N4" s="14"/>
      <c r="O4" s="14"/>
      <c r="P4" s="14"/>
      <c r="Q4" s="14"/>
      <c r="R4" s="14"/>
    </row>
    <row r="5" spans="1:18" ht="8.25" customHeight="1" x14ac:dyDescent="0.3"/>
    <row r="6" spans="1:18" ht="15.75" customHeight="1" x14ac:dyDescent="0.3">
      <c r="A6" s="1">
        <v>1</v>
      </c>
      <c r="B6" s="3" t="s">
        <v>1</v>
      </c>
      <c r="C6" s="84" t="s">
        <v>110</v>
      </c>
      <c r="D6" s="84" t="s">
        <v>119</v>
      </c>
      <c r="E6" s="84" t="s">
        <v>29</v>
      </c>
      <c r="H6" s="3" t="s">
        <v>1</v>
      </c>
      <c r="I6" s="84" t="s">
        <v>50</v>
      </c>
      <c r="J6" s="84" t="s">
        <v>49</v>
      </c>
      <c r="K6" s="84" t="s">
        <v>48</v>
      </c>
      <c r="L6" s="84" t="s">
        <v>99</v>
      </c>
      <c r="M6" s="84" t="s">
        <v>102</v>
      </c>
      <c r="N6" s="84" t="s">
        <v>110</v>
      </c>
      <c r="O6" s="84" t="s">
        <v>111</v>
      </c>
      <c r="P6" s="84" t="s">
        <v>112</v>
      </c>
      <c r="Q6" s="84" t="s">
        <v>114</v>
      </c>
      <c r="R6" s="84" t="s">
        <v>119</v>
      </c>
    </row>
    <row r="7" spans="1:18" x14ac:dyDescent="0.3">
      <c r="A7" s="1">
        <v>2</v>
      </c>
      <c r="B7" s="3" t="s">
        <v>0</v>
      </c>
      <c r="C7" s="84"/>
      <c r="D7" s="84"/>
      <c r="E7" s="84"/>
      <c r="H7" s="3" t="s">
        <v>0</v>
      </c>
      <c r="I7" s="84"/>
      <c r="J7" s="84"/>
      <c r="K7" s="84"/>
      <c r="L7" s="84"/>
      <c r="M7" s="84"/>
      <c r="N7" s="84"/>
      <c r="O7" s="84"/>
      <c r="P7" s="84"/>
      <c r="Q7" s="84"/>
      <c r="R7" s="84"/>
    </row>
    <row r="8" spans="1:18" ht="6.75" customHeight="1" x14ac:dyDescent="0.3">
      <c r="A8" s="1">
        <v>3</v>
      </c>
    </row>
    <row r="9" spans="1:18" x14ac:dyDescent="0.3">
      <c r="A9" s="1">
        <v>4</v>
      </c>
      <c r="B9" s="2" t="s">
        <v>2</v>
      </c>
      <c r="C9" s="10">
        <f>+HLOOKUP($C$6,$H$6:$AL$46,A9,FALSE)</f>
        <v>400.79995629000001</v>
      </c>
      <c r="D9" s="10">
        <f>+HLOOKUP($D$6,$H$6:$AL$46,A9,FALSE)</f>
        <v>390.46938418000002</v>
      </c>
      <c r="E9" s="41">
        <f>D9/C9-1</f>
        <v>-2.5774883324900522E-2</v>
      </c>
      <c r="H9" s="2" t="s">
        <v>2</v>
      </c>
      <c r="I9" s="10">
        <f t="shared" ref="I9:R9" si="0">SUM(I10:I11)</f>
        <v>382.04352459</v>
      </c>
      <c r="J9" s="10">
        <f t="shared" si="0"/>
        <v>393.52543853000003</v>
      </c>
      <c r="K9" s="10">
        <f t="shared" si="0"/>
        <v>384.01442531999993</v>
      </c>
      <c r="L9" s="10">
        <f t="shared" si="0"/>
        <v>388.82864637</v>
      </c>
      <c r="M9" s="10">
        <f t="shared" si="0"/>
        <v>406.61819793000001</v>
      </c>
      <c r="N9" s="10">
        <f t="shared" si="0"/>
        <v>400.79995629000001</v>
      </c>
      <c r="O9" s="10">
        <f t="shared" si="0"/>
        <v>368.99227644000001</v>
      </c>
      <c r="P9" s="10">
        <f t="shared" si="0"/>
        <v>394.93665562000001</v>
      </c>
      <c r="Q9" s="10">
        <f t="shared" si="0"/>
        <v>393.77940529</v>
      </c>
      <c r="R9" s="10">
        <f t="shared" si="0"/>
        <v>390.46938418000002</v>
      </c>
    </row>
    <row r="10" spans="1:18" x14ac:dyDescent="0.3">
      <c r="A10" s="1">
        <v>5</v>
      </c>
      <c r="B10" s="4" t="s">
        <v>3</v>
      </c>
      <c r="C10" s="7">
        <f t="shared" ref="C10:C46" si="1">+HLOOKUP($C$6,$H$6:$AL$46,A10,FALSE)</f>
        <v>394.71491316000004</v>
      </c>
      <c r="D10" s="7">
        <f t="shared" ref="D10:D46" si="2">+HLOOKUP($D$6,$H$6:$AL$46,A10,FALSE)</f>
        <v>381.06003191000002</v>
      </c>
      <c r="E10" s="39">
        <f t="shared" ref="E10:E11" si="3">+D10/C10-1</f>
        <v>-3.4594287661142697E-2</v>
      </c>
      <c r="H10" s="4" t="s">
        <v>3</v>
      </c>
      <c r="I10" s="7">
        <v>375.70760791999999</v>
      </c>
      <c r="J10" s="7">
        <v>387.07254207000005</v>
      </c>
      <c r="K10" s="7">
        <v>377.56387881999996</v>
      </c>
      <c r="L10" s="7">
        <v>383.95966881999999</v>
      </c>
      <c r="M10" s="7">
        <v>399.36714494</v>
      </c>
      <c r="N10" s="7">
        <v>394.71491316000004</v>
      </c>
      <c r="O10" s="7">
        <v>362.05105947000004</v>
      </c>
      <c r="P10" s="7">
        <v>387.65664358000004</v>
      </c>
      <c r="Q10" s="7">
        <v>385.76109456</v>
      </c>
      <c r="R10" s="7">
        <v>381.06003191000002</v>
      </c>
    </row>
    <row r="11" spans="1:18" x14ac:dyDescent="0.3">
      <c r="A11" s="1">
        <v>6</v>
      </c>
      <c r="B11" s="5" t="s">
        <v>4</v>
      </c>
      <c r="C11" s="8">
        <f t="shared" si="1"/>
        <v>6.0850431299999999</v>
      </c>
      <c r="D11" s="8">
        <f t="shared" si="2"/>
        <v>9.4093522699999994</v>
      </c>
      <c r="E11" s="39">
        <f t="shared" si="3"/>
        <v>0.54630822970025505</v>
      </c>
      <c r="H11" s="5" t="s">
        <v>4</v>
      </c>
      <c r="I11" s="8">
        <v>6.3359166699999987</v>
      </c>
      <c r="J11" s="8">
        <v>6.4528964599999998</v>
      </c>
      <c r="K11" s="8">
        <v>6.4505465000000006</v>
      </c>
      <c r="L11" s="8">
        <v>4.8689775500000003</v>
      </c>
      <c r="M11" s="8">
        <v>7.2510529899999989</v>
      </c>
      <c r="N11" s="8">
        <v>6.0850431299999999</v>
      </c>
      <c r="O11" s="8">
        <v>6.9412169699999984</v>
      </c>
      <c r="P11" s="8">
        <v>7.2800120399999999</v>
      </c>
      <c r="Q11" s="8">
        <v>8.0183107299999996</v>
      </c>
      <c r="R11" s="8">
        <v>9.4093522699999994</v>
      </c>
    </row>
    <row r="12" spans="1:18" ht="5.25" customHeight="1" x14ac:dyDescent="0.3">
      <c r="A12" s="1">
        <v>7</v>
      </c>
      <c r="E12" s="42"/>
    </row>
    <row r="13" spans="1:18" x14ac:dyDescent="0.3">
      <c r="A13" s="1">
        <v>8</v>
      </c>
      <c r="B13" s="6" t="s">
        <v>5</v>
      </c>
      <c r="C13" s="10">
        <f t="shared" si="1"/>
        <v>-218.94480712000001</v>
      </c>
      <c r="D13" s="10">
        <f t="shared" si="2"/>
        <v>-191.37367252999999</v>
      </c>
      <c r="E13" s="41">
        <f>D13/C13-1</f>
        <v>-0.12592732822792518</v>
      </c>
      <c r="H13" s="6" t="s">
        <v>5</v>
      </c>
      <c r="I13" s="10">
        <f t="shared" ref="I13:R13" si="4">SUM(I14:I19)</f>
        <v>-201.61834733999999</v>
      </c>
      <c r="J13" s="10">
        <f t="shared" si="4"/>
        <v>-209.72360940999999</v>
      </c>
      <c r="K13" s="10">
        <f t="shared" si="4"/>
        <v>-182.83798649000002</v>
      </c>
      <c r="L13" s="10">
        <f t="shared" si="4"/>
        <v>-161.49980806000002</v>
      </c>
      <c r="M13" s="10">
        <f t="shared" si="4"/>
        <v>-214.61205498000001</v>
      </c>
      <c r="N13" s="10">
        <f t="shared" si="4"/>
        <v>-218.94480712000001</v>
      </c>
      <c r="O13" s="10">
        <f t="shared" si="4"/>
        <v>-185.32793635000002</v>
      </c>
      <c r="P13" s="10">
        <f t="shared" si="4"/>
        <v>-154.71845597000001</v>
      </c>
      <c r="Q13" s="10">
        <f t="shared" si="4"/>
        <v>-208.40747737000004</v>
      </c>
      <c r="R13" s="10">
        <f t="shared" si="4"/>
        <v>-191.37367252999999</v>
      </c>
    </row>
    <row r="14" spans="1:18" x14ac:dyDescent="0.3">
      <c r="A14" s="1">
        <v>9</v>
      </c>
      <c r="B14" s="5" t="s">
        <v>6</v>
      </c>
      <c r="C14" s="9">
        <f t="shared" si="1"/>
        <v>-42.72805692</v>
      </c>
      <c r="D14" s="9">
        <f t="shared" si="2"/>
        <v>-34.296792169999996</v>
      </c>
      <c r="E14" s="39">
        <f>+D14/C14-1</f>
        <v>-0.19732385129953167</v>
      </c>
      <c r="H14" s="5" t="s">
        <v>6</v>
      </c>
      <c r="I14" s="9">
        <v>-49.663123439999993</v>
      </c>
      <c r="J14" s="9">
        <v>-45.028858790000001</v>
      </c>
      <c r="K14" s="9">
        <v>-48.471841370000007</v>
      </c>
      <c r="L14" s="9">
        <v>-50.922849980000002</v>
      </c>
      <c r="M14" s="9">
        <v>-49.971196500000005</v>
      </c>
      <c r="N14" s="9">
        <v>-42.72805692</v>
      </c>
      <c r="O14" s="9">
        <v>-36.030390279999999</v>
      </c>
      <c r="P14" s="9">
        <v>-41.381338930000005</v>
      </c>
      <c r="Q14" s="9">
        <v>-43.621112150000002</v>
      </c>
      <c r="R14" s="9">
        <v>-34.296792169999996</v>
      </c>
    </row>
    <row r="15" spans="1:18" x14ac:dyDescent="0.3">
      <c r="A15" s="1">
        <v>10</v>
      </c>
      <c r="B15" s="5" t="s">
        <v>7</v>
      </c>
      <c r="C15" s="9">
        <f t="shared" si="1"/>
        <v>-8.2634073800000003</v>
      </c>
      <c r="D15" s="9">
        <f t="shared" si="2"/>
        <v>-13.185026169999999</v>
      </c>
      <c r="E15" s="40">
        <f t="shared" ref="E15:E19" si="5">+D15/C15-1</f>
        <v>0.59559193486113693</v>
      </c>
      <c r="H15" s="5" t="s">
        <v>7</v>
      </c>
      <c r="I15" s="9">
        <v>-10.309236590000001</v>
      </c>
      <c r="J15" s="9">
        <v>-8.1412438000000016</v>
      </c>
      <c r="K15" s="9">
        <v>-12.31748</v>
      </c>
      <c r="L15" s="9">
        <v>-15.235790230000001</v>
      </c>
      <c r="M15" s="9">
        <v>-14.031543289999998</v>
      </c>
      <c r="N15" s="9">
        <v>-8.2634073800000003</v>
      </c>
      <c r="O15" s="9">
        <v>-12.96105287</v>
      </c>
      <c r="P15" s="9">
        <v>-10.257073849999999</v>
      </c>
      <c r="Q15" s="9">
        <v>-2.7598666500000002</v>
      </c>
      <c r="R15" s="9">
        <v>-13.185026169999999</v>
      </c>
    </row>
    <row r="16" spans="1:18" x14ac:dyDescent="0.3">
      <c r="A16" s="1">
        <v>11</v>
      </c>
      <c r="B16" s="5" t="s">
        <v>8</v>
      </c>
      <c r="C16" s="9">
        <f t="shared" si="1"/>
        <v>-115.36363802999999</v>
      </c>
      <c r="D16" s="9">
        <f t="shared" si="2"/>
        <v>-95.379333989999992</v>
      </c>
      <c r="E16" s="40">
        <f t="shared" si="5"/>
        <v>-0.17322879532286539</v>
      </c>
      <c r="H16" s="5" t="s">
        <v>8</v>
      </c>
      <c r="I16" s="9">
        <v>-94.484040910000004</v>
      </c>
      <c r="J16" s="9">
        <v>-97.683044590000009</v>
      </c>
      <c r="K16" s="9">
        <v>-69.257545590000007</v>
      </c>
      <c r="L16" s="9">
        <v>-46.944186979999998</v>
      </c>
      <c r="M16" s="9">
        <v>-100.79955923</v>
      </c>
      <c r="N16" s="9">
        <v>-115.36363802999999</v>
      </c>
      <c r="O16" s="9">
        <v>-87.820830080000007</v>
      </c>
      <c r="P16" s="9">
        <v>-51.494247820000005</v>
      </c>
      <c r="Q16" s="9">
        <v>-107.34780074</v>
      </c>
      <c r="R16" s="9">
        <v>-95.379333989999992</v>
      </c>
    </row>
    <row r="17" spans="1:18" x14ac:dyDescent="0.3">
      <c r="A17" s="1">
        <v>12</v>
      </c>
      <c r="B17" s="5" t="s">
        <v>9</v>
      </c>
      <c r="C17" s="9">
        <f t="shared" si="1"/>
        <v>-4.8410693299999998</v>
      </c>
      <c r="D17" s="9">
        <f t="shared" si="2"/>
        <v>-2.1464366200000002</v>
      </c>
      <c r="E17" s="40">
        <f t="shared" si="5"/>
        <v>-0.5566193182364525</v>
      </c>
      <c r="H17" s="5" t="s">
        <v>9</v>
      </c>
      <c r="I17" s="9">
        <v>-6.969882909999999</v>
      </c>
      <c r="J17" s="9">
        <v>-16.593912970000002</v>
      </c>
      <c r="K17" s="9">
        <v>-4.990396689999999</v>
      </c>
      <c r="L17" s="9">
        <v>-2.59113864</v>
      </c>
      <c r="M17" s="9">
        <v>-3.0085850299999999</v>
      </c>
      <c r="N17" s="9">
        <v>-4.8410693299999998</v>
      </c>
      <c r="O17" s="9">
        <v>-4.997354979999999</v>
      </c>
      <c r="P17" s="9">
        <v>-3.5823068500000002</v>
      </c>
      <c r="Q17" s="9">
        <v>-9.144735380000002</v>
      </c>
      <c r="R17" s="9">
        <v>-2.1464366200000002</v>
      </c>
    </row>
    <row r="18" spans="1:18" x14ac:dyDescent="0.3">
      <c r="A18" s="1">
        <v>13</v>
      </c>
      <c r="B18" s="5" t="s">
        <v>10</v>
      </c>
      <c r="C18" s="9">
        <f t="shared" si="1"/>
        <v>-22.376940360000003</v>
      </c>
      <c r="D18" s="9">
        <f t="shared" si="2"/>
        <v>-25.329593030000002</v>
      </c>
      <c r="E18" s="40">
        <f t="shared" si="5"/>
        <v>0.13195068773915253</v>
      </c>
      <c r="H18" s="5" t="s">
        <v>10</v>
      </c>
      <c r="I18" s="9">
        <v>-18.267814120000004</v>
      </c>
      <c r="J18" s="9">
        <v>-19.587985530000005</v>
      </c>
      <c r="K18" s="9">
        <v>-21.775002570000002</v>
      </c>
      <c r="L18" s="9">
        <v>-14.182322660000001</v>
      </c>
      <c r="M18" s="9">
        <v>-22.118387720000001</v>
      </c>
      <c r="N18" s="9">
        <v>-22.376940360000003</v>
      </c>
      <c r="O18" s="9">
        <v>-23.068639080000001</v>
      </c>
      <c r="P18" s="9">
        <v>-19.234630080000002</v>
      </c>
      <c r="Q18" s="9">
        <v>-25.951997500000001</v>
      </c>
      <c r="R18" s="9">
        <v>-25.329593030000002</v>
      </c>
    </row>
    <row r="19" spans="1:18" x14ac:dyDescent="0.3">
      <c r="A19" s="1">
        <v>14</v>
      </c>
      <c r="B19" s="5" t="s">
        <v>11</v>
      </c>
      <c r="C19" s="9">
        <f t="shared" si="1"/>
        <v>-25.371695099999997</v>
      </c>
      <c r="D19" s="9">
        <f t="shared" si="2"/>
        <v>-21.036490550000003</v>
      </c>
      <c r="E19" s="40">
        <f t="shared" si="5"/>
        <v>-0.17086775372765672</v>
      </c>
      <c r="H19" s="5" t="s">
        <v>11</v>
      </c>
      <c r="I19" s="9">
        <v>-21.924249370000002</v>
      </c>
      <c r="J19" s="9">
        <v>-22.688563729999998</v>
      </c>
      <c r="K19" s="9">
        <v>-26.025720270000001</v>
      </c>
      <c r="L19" s="9">
        <v>-31.623519569999999</v>
      </c>
      <c r="M19" s="9">
        <v>-24.68278321</v>
      </c>
      <c r="N19" s="9">
        <v>-25.371695099999997</v>
      </c>
      <c r="O19" s="9">
        <v>-20.449669059999998</v>
      </c>
      <c r="P19" s="9">
        <v>-28.768858439999995</v>
      </c>
      <c r="Q19" s="9">
        <v>-19.58196495</v>
      </c>
      <c r="R19" s="9">
        <v>-21.036490550000003</v>
      </c>
    </row>
    <row r="20" spans="1:18" ht="5.25" customHeight="1" x14ac:dyDescent="0.3">
      <c r="A20" s="1">
        <v>15</v>
      </c>
      <c r="E20" s="42"/>
    </row>
    <row r="21" spans="1:18" x14ac:dyDescent="0.3">
      <c r="A21" s="1">
        <v>16</v>
      </c>
      <c r="B21" s="6" t="s">
        <v>12</v>
      </c>
      <c r="C21" s="10">
        <f t="shared" si="1"/>
        <v>181.85514917</v>
      </c>
      <c r="D21" s="10">
        <f t="shared" si="2"/>
        <v>199.09571165000003</v>
      </c>
      <c r="E21" s="41">
        <f>D21/C21-1</f>
        <v>9.4803818086467206E-2</v>
      </c>
      <c r="H21" s="6" t="s">
        <v>12</v>
      </c>
      <c r="I21" s="10">
        <f t="shared" ref="I21:R21" si="6">I9+I13</f>
        <v>180.42517725000002</v>
      </c>
      <c r="J21" s="10">
        <f t="shared" si="6"/>
        <v>183.80182912000004</v>
      </c>
      <c r="K21" s="10">
        <f t="shared" si="6"/>
        <v>201.17643882999991</v>
      </c>
      <c r="L21" s="10">
        <f t="shared" si="6"/>
        <v>227.32883830999998</v>
      </c>
      <c r="M21" s="10">
        <f t="shared" si="6"/>
        <v>192.00614295</v>
      </c>
      <c r="N21" s="10">
        <f t="shared" si="6"/>
        <v>181.85514917</v>
      </c>
      <c r="O21" s="10">
        <f t="shared" si="6"/>
        <v>183.66434009</v>
      </c>
      <c r="P21" s="10">
        <f t="shared" si="6"/>
        <v>240.21819965</v>
      </c>
      <c r="Q21" s="10">
        <f t="shared" si="6"/>
        <v>185.37192791999996</v>
      </c>
      <c r="R21" s="10">
        <f t="shared" si="6"/>
        <v>199.09571165000003</v>
      </c>
    </row>
    <row r="22" spans="1:18" ht="5.25" customHeight="1" x14ac:dyDescent="0.3">
      <c r="A22" s="1">
        <v>17</v>
      </c>
      <c r="D22" s="1">
        <f t="shared" si="2"/>
        <v>0</v>
      </c>
      <c r="E22" s="42"/>
    </row>
    <row r="23" spans="1:18" x14ac:dyDescent="0.3">
      <c r="A23" s="1">
        <v>18</v>
      </c>
      <c r="B23" s="5" t="s">
        <v>13</v>
      </c>
      <c r="C23" s="9">
        <f t="shared" si="1"/>
        <v>-19.99287172</v>
      </c>
      <c r="D23" s="9">
        <f t="shared" si="2"/>
        <v>-18.69958454</v>
      </c>
      <c r="E23" s="39">
        <f>+D23/C23-1</f>
        <v>-6.4687414500151696E-2</v>
      </c>
      <c r="H23" s="5" t="s">
        <v>13</v>
      </c>
      <c r="I23" s="9">
        <v>-17.04451195</v>
      </c>
      <c r="J23" s="9">
        <v>-17.660246110000003</v>
      </c>
      <c r="K23" s="9">
        <v>-19.13792746</v>
      </c>
      <c r="L23" s="9">
        <v>-22.942345899999999</v>
      </c>
      <c r="M23" s="9">
        <v>-20.83305013</v>
      </c>
      <c r="N23" s="9">
        <v>-19.99287172</v>
      </c>
      <c r="O23" s="9">
        <v>-19.41948554</v>
      </c>
      <c r="P23" s="9">
        <v>-19.52008206</v>
      </c>
      <c r="Q23" s="9">
        <v>-18.145634449999999</v>
      </c>
      <c r="R23" s="9">
        <v>-18.69958454</v>
      </c>
    </row>
    <row r="24" spans="1:18" x14ac:dyDescent="0.3">
      <c r="A24" s="1">
        <v>19</v>
      </c>
      <c r="B24" s="5" t="s">
        <v>14</v>
      </c>
      <c r="C24" s="9">
        <f t="shared" si="1"/>
        <v>-7.8615174199999984</v>
      </c>
      <c r="D24" s="9">
        <f t="shared" si="2"/>
        <v>-6.6276518099999997</v>
      </c>
      <c r="E24" s="39">
        <f>+D24/C24-1</f>
        <v>-0.15695005735928258</v>
      </c>
      <c r="H24" s="5" t="s">
        <v>14</v>
      </c>
      <c r="I24" s="9">
        <v>-8.5792266599999998</v>
      </c>
      <c r="J24" s="9">
        <v>-7.6647555899999995</v>
      </c>
      <c r="K24" s="9">
        <v>-8.0141252200000004</v>
      </c>
      <c r="L24" s="9">
        <v>0.44080515999999959</v>
      </c>
      <c r="M24" s="9">
        <v>-7.5951097599999997</v>
      </c>
      <c r="N24" s="9">
        <v>-7.8615174199999984</v>
      </c>
      <c r="O24" s="9">
        <v>-7.9049100199999991</v>
      </c>
      <c r="P24" s="9">
        <v>-10.4942574</v>
      </c>
      <c r="Q24" s="9">
        <v>-5.5704710899999998</v>
      </c>
      <c r="R24" s="9">
        <v>-6.6276518099999997</v>
      </c>
    </row>
    <row r="25" spans="1:18" x14ac:dyDescent="0.3">
      <c r="A25" s="1">
        <v>20</v>
      </c>
      <c r="B25" s="5" t="s">
        <v>15</v>
      </c>
      <c r="C25" s="9">
        <f t="shared" si="1"/>
        <v>-58.823031590000006</v>
      </c>
      <c r="D25" s="9">
        <f t="shared" si="2"/>
        <v>-65.973431809999994</v>
      </c>
      <c r="E25" s="39">
        <f t="shared" ref="E25" si="7">+D25/C25-1</f>
        <v>0.12155783248028929</v>
      </c>
      <c r="H25" s="5" t="s">
        <v>15</v>
      </c>
      <c r="I25" s="9">
        <v>-59.572974270000003</v>
      </c>
      <c r="J25" s="9">
        <v>-60.371400770000001</v>
      </c>
      <c r="K25" s="9">
        <v>-59.531198900000007</v>
      </c>
      <c r="L25" s="9">
        <v>-44.012021590000003</v>
      </c>
      <c r="M25" s="9">
        <v>-58.61902585</v>
      </c>
      <c r="N25" s="9">
        <v>-58.823031590000006</v>
      </c>
      <c r="O25" s="9">
        <v>-59.493490899999998</v>
      </c>
      <c r="P25" s="9">
        <v>-60.019039800000002</v>
      </c>
      <c r="Q25" s="9">
        <v>-60.018540229999999</v>
      </c>
      <c r="R25" s="9">
        <v>-65.973431809999994</v>
      </c>
    </row>
    <row r="26" spans="1:18" ht="5.25" customHeight="1" x14ac:dyDescent="0.3">
      <c r="A26" s="1">
        <v>21</v>
      </c>
      <c r="E26" s="42"/>
    </row>
    <row r="27" spans="1:18" x14ac:dyDescent="0.3">
      <c r="A27" s="1">
        <v>22</v>
      </c>
      <c r="B27" s="6" t="s">
        <v>16</v>
      </c>
      <c r="C27" s="10">
        <f t="shared" si="1"/>
        <v>95.177728439999996</v>
      </c>
      <c r="D27" s="10">
        <f t="shared" si="2"/>
        <v>107.79504349000003</v>
      </c>
      <c r="E27" s="41">
        <f>D27/C27-1</f>
        <v>0.13256583506249564</v>
      </c>
      <c r="H27" s="6" t="s">
        <v>16</v>
      </c>
      <c r="I27" s="10">
        <f t="shared" ref="I27:R27" si="8">I25+I24+I23+I21</f>
        <v>95.228464370000012</v>
      </c>
      <c r="J27" s="10">
        <f t="shared" si="8"/>
        <v>98.105426650000027</v>
      </c>
      <c r="K27" s="10">
        <f t="shared" si="8"/>
        <v>114.49318724999991</v>
      </c>
      <c r="L27" s="10">
        <f t="shared" si="8"/>
        <v>160.81527597999997</v>
      </c>
      <c r="M27" s="10">
        <f t="shared" si="8"/>
        <v>104.95895720999999</v>
      </c>
      <c r="N27" s="10">
        <f t="shared" si="8"/>
        <v>95.177728439999996</v>
      </c>
      <c r="O27" s="10">
        <f t="shared" si="8"/>
        <v>96.846453629999999</v>
      </c>
      <c r="P27" s="10">
        <f t="shared" si="8"/>
        <v>150.18482039</v>
      </c>
      <c r="Q27" s="10">
        <f t="shared" si="8"/>
        <v>101.63728214999996</v>
      </c>
      <c r="R27" s="10">
        <f t="shared" si="8"/>
        <v>107.79504349000003</v>
      </c>
    </row>
    <row r="28" spans="1:18" ht="5.25" customHeight="1" x14ac:dyDescent="0.3">
      <c r="A28" s="1">
        <v>23</v>
      </c>
      <c r="C28" s="1">
        <f t="shared" si="1"/>
        <v>0</v>
      </c>
      <c r="D28" s="52">
        <f t="shared" si="2"/>
        <v>0</v>
      </c>
      <c r="E28" s="42"/>
      <c r="I28" s="52"/>
      <c r="K28" s="52"/>
      <c r="M28" s="52"/>
      <c r="O28" s="52"/>
      <c r="Q28" s="52"/>
      <c r="R28" s="52"/>
    </row>
    <row r="29" spans="1:18" x14ac:dyDescent="0.3">
      <c r="A29" s="1">
        <v>24</v>
      </c>
      <c r="B29" s="6" t="s">
        <v>17</v>
      </c>
      <c r="C29" s="10">
        <f t="shared" si="1"/>
        <v>154.00076003000001</v>
      </c>
      <c r="D29" s="10">
        <f t="shared" si="2"/>
        <v>173.76847530000003</v>
      </c>
      <c r="E29" s="41">
        <f>D29/C29-1</f>
        <v>0.12836115397189718</v>
      </c>
      <c r="H29" s="6" t="s">
        <v>17</v>
      </c>
      <c r="I29" s="10">
        <v>154.80143864000001</v>
      </c>
      <c r="J29" s="10">
        <v>158.47682742000003</v>
      </c>
      <c r="K29" s="10">
        <v>174.02438614999991</v>
      </c>
      <c r="L29" s="10">
        <v>204.82729756999998</v>
      </c>
      <c r="M29" s="10">
        <v>163.57798306000001</v>
      </c>
      <c r="N29" s="10">
        <v>154.00076003000001</v>
      </c>
      <c r="O29" s="10">
        <v>156.33994453</v>
      </c>
      <c r="P29" s="10">
        <v>210.20386019</v>
      </c>
      <c r="Q29" s="10">
        <v>161.65582237999996</v>
      </c>
      <c r="R29" s="10">
        <v>173.76847530000003</v>
      </c>
    </row>
    <row r="30" spans="1:18" ht="5.25" customHeight="1" x14ac:dyDescent="0.3">
      <c r="A30" s="1">
        <v>25</v>
      </c>
      <c r="E30" s="42"/>
    </row>
    <row r="31" spans="1:18" x14ac:dyDescent="0.3">
      <c r="A31" s="1">
        <v>26</v>
      </c>
      <c r="B31" s="5" t="s">
        <v>18</v>
      </c>
      <c r="C31" s="9">
        <f t="shared" si="1"/>
        <v>4.4943058100000002</v>
      </c>
      <c r="D31" s="9">
        <f t="shared" si="2"/>
        <v>4.8958357699999997</v>
      </c>
      <c r="E31" s="39">
        <f>+D31/C31-1</f>
        <v>8.9341931095694438E-2</v>
      </c>
      <c r="H31" s="5" t="s">
        <v>18</v>
      </c>
      <c r="I31" s="9">
        <v>2.5236214500000003</v>
      </c>
      <c r="J31" s="9">
        <v>2.7823693500000002</v>
      </c>
      <c r="K31" s="9">
        <v>3.1789319899999997</v>
      </c>
      <c r="L31" s="9">
        <v>4.2409520899999995</v>
      </c>
      <c r="M31" s="9">
        <v>4.85621904</v>
      </c>
      <c r="N31" s="9">
        <v>4.4943058100000002</v>
      </c>
      <c r="O31" s="9">
        <v>5.0033533800000001</v>
      </c>
      <c r="P31" s="9">
        <v>6.0128980599999995</v>
      </c>
      <c r="Q31" s="9">
        <v>6.3841863300000004</v>
      </c>
      <c r="R31" s="9">
        <v>4.8958357699999997</v>
      </c>
    </row>
    <row r="32" spans="1:18" x14ac:dyDescent="0.3">
      <c r="A32" s="1">
        <v>27</v>
      </c>
      <c r="B32" s="5" t="s">
        <v>19</v>
      </c>
      <c r="C32" s="9">
        <f t="shared" si="1"/>
        <v>-21.067198480000002</v>
      </c>
      <c r="D32" s="9">
        <f t="shared" si="2"/>
        <v>-24.948332670000003</v>
      </c>
      <c r="E32" s="39">
        <f t="shared" ref="E32:E35" si="9">+D32/C32-1</f>
        <v>0.18422640265550871</v>
      </c>
      <c r="H32" s="5" t="s">
        <v>19</v>
      </c>
      <c r="I32" s="9">
        <v>-20.230824169999998</v>
      </c>
      <c r="J32" s="9">
        <v>-20.18796966</v>
      </c>
      <c r="K32" s="9">
        <v>-21.837985680000003</v>
      </c>
      <c r="L32" s="9">
        <v>-22.69717919</v>
      </c>
      <c r="M32" s="9">
        <v>-21.131099630000001</v>
      </c>
      <c r="N32" s="9">
        <v>-21.067198480000002</v>
      </c>
      <c r="O32" s="9">
        <v>-20.895725410000001</v>
      </c>
      <c r="P32" s="9">
        <v>-20.77659963</v>
      </c>
      <c r="Q32" s="9">
        <v>-20.671587080000002</v>
      </c>
      <c r="R32" s="9">
        <v>-24.948332670000003</v>
      </c>
    </row>
    <row r="33" spans="1:18" x14ac:dyDescent="0.3">
      <c r="A33" s="1">
        <v>28</v>
      </c>
      <c r="B33" s="5" t="s">
        <v>20</v>
      </c>
      <c r="C33" s="9">
        <f t="shared" si="1"/>
        <v>-6.8534151000000021</v>
      </c>
      <c r="D33" s="9">
        <f t="shared" si="2"/>
        <v>0.85936775000000187</v>
      </c>
      <c r="E33" s="54" t="s">
        <v>69</v>
      </c>
      <c r="H33" s="5" t="s">
        <v>20</v>
      </c>
      <c r="I33" s="9">
        <v>0.55841687000000062</v>
      </c>
      <c r="J33" s="9">
        <v>0.81643913000000035</v>
      </c>
      <c r="K33" s="9">
        <v>2.7404837300000033</v>
      </c>
      <c r="L33" s="9">
        <v>4.0539890799999991</v>
      </c>
      <c r="M33" s="9">
        <v>-1.1133358300000005</v>
      </c>
      <c r="N33" s="9">
        <v>-6.8534151000000021</v>
      </c>
      <c r="O33" s="9">
        <v>-1.6043168900000007</v>
      </c>
      <c r="P33" s="9">
        <v>-3.0702768400000044</v>
      </c>
      <c r="Q33" s="9">
        <v>1.2623363700000001</v>
      </c>
      <c r="R33" s="9">
        <v>0.85936775000000187</v>
      </c>
    </row>
    <row r="34" spans="1:18" x14ac:dyDescent="0.3">
      <c r="A34" s="1">
        <v>29</v>
      </c>
      <c r="B34" s="5" t="s">
        <v>21</v>
      </c>
      <c r="C34" s="9">
        <f t="shared" si="1"/>
        <v>2.09918505</v>
      </c>
      <c r="D34" s="9">
        <f t="shared" si="2"/>
        <v>2.5646927799999997</v>
      </c>
      <c r="E34" s="39">
        <f t="shared" si="9"/>
        <v>0.22175640494390891</v>
      </c>
      <c r="H34" s="5" t="s">
        <v>21</v>
      </c>
      <c r="I34" s="9">
        <v>0.73980449999999998</v>
      </c>
      <c r="J34" s="9">
        <v>1.1078972599999999</v>
      </c>
      <c r="K34" s="9">
        <v>1.2924579299999999</v>
      </c>
      <c r="L34" s="9">
        <v>-0.23659015999999999</v>
      </c>
      <c r="M34" s="9">
        <v>4.6503776200000004</v>
      </c>
      <c r="N34" s="9">
        <v>2.09918505</v>
      </c>
      <c r="O34" s="9">
        <v>2.82230545</v>
      </c>
      <c r="P34" s="9">
        <v>1.8170467399999999</v>
      </c>
      <c r="Q34" s="9">
        <v>2.3436588</v>
      </c>
      <c r="R34" s="9">
        <v>2.5646927799999997</v>
      </c>
    </row>
    <row r="35" spans="1:18" x14ac:dyDescent="0.3">
      <c r="A35" s="1">
        <v>30</v>
      </c>
      <c r="B35" s="5" t="s">
        <v>22</v>
      </c>
      <c r="C35" s="9">
        <f t="shared" si="1"/>
        <v>-9.675633610000002</v>
      </c>
      <c r="D35" s="9">
        <f t="shared" si="2"/>
        <v>-10.757166999999999</v>
      </c>
      <c r="E35" s="39">
        <f t="shared" si="9"/>
        <v>0.11177907655393304</v>
      </c>
      <c r="H35" s="5" t="s">
        <v>22</v>
      </c>
      <c r="I35" s="9">
        <v>-4.6026092199999997</v>
      </c>
      <c r="J35" s="9">
        <v>14.586818990000001</v>
      </c>
      <c r="K35" s="9">
        <v>-4.4328011099999998</v>
      </c>
      <c r="L35" s="9">
        <v>-90.356327449999995</v>
      </c>
      <c r="M35" s="9">
        <v>-4.1748449599999997</v>
      </c>
      <c r="N35" s="9">
        <v>-9.675633610000002</v>
      </c>
      <c r="O35" s="9">
        <v>-5.4907606900000001</v>
      </c>
      <c r="P35" s="9">
        <v>-34.22733968</v>
      </c>
      <c r="Q35" s="9">
        <v>-4.5141263599999997</v>
      </c>
      <c r="R35" s="9">
        <v>-10.757166999999999</v>
      </c>
    </row>
    <row r="36" spans="1:18" ht="5.25" customHeight="1" x14ac:dyDescent="0.3">
      <c r="A36" s="1">
        <v>31</v>
      </c>
      <c r="E36" s="42"/>
    </row>
    <row r="37" spans="1:18" x14ac:dyDescent="0.3">
      <c r="A37" s="1">
        <v>32</v>
      </c>
      <c r="B37" s="6" t="s">
        <v>23</v>
      </c>
      <c r="C37" s="10">
        <f t="shared" si="1"/>
        <v>-31.002756330000008</v>
      </c>
      <c r="D37" s="10">
        <f t="shared" si="2"/>
        <v>-27.385603370000002</v>
      </c>
      <c r="E37" s="41">
        <f>D37/C37-1</f>
        <v>-0.11667197979103061</v>
      </c>
      <c r="H37" s="6" t="s">
        <v>23</v>
      </c>
      <c r="I37" s="10">
        <f t="shared" ref="I37:R37" si="10">SUM(I31:I35)</f>
        <v>-21.011590569999996</v>
      </c>
      <c r="J37" s="10">
        <f t="shared" si="10"/>
        <v>-0.89444493000000058</v>
      </c>
      <c r="K37" s="10">
        <f t="shared" si="10"/>
        <v>-19.058913140000001</v>
      </c>
      <c r="L37" s="10">
        <f t="shared" si="10"/>
        <v>-104.99515563</v>
      </c>
      <c r="M37" s="10">
        <f t="shared" si="10"/>
        <v>-16.91268376</v>
      </c>
      <c r="N37" s="10">
        <f t="shared" si="10"/>
        <v>-31.002756330000008</v>
      </c>
      <c r="O37" s="10">
        <f t="shared" si="10"/>
        <v>-20.165144160000001</v>
      </c>
      <c r="P37" s="10">
        <f t="shared" si="10"/>
        <v>-50.244271350000005</v>
      </c>
      <c r="Q37" s="10">
        <f t="shared" si="10"/>
        <v>-15.195531940000002</v>
      </c>
      <c r="R37" s="10">
        <f t="shared" si="10"/>
        <v>-27.385603370000002</v>
      </c>
    </row>
    <row r="38" spans="1:18" ht="5.25" customHeight="1" x14ac:dyDescent="0.3">
      <c r="A38" s="1">
        <v>33</v>
      </c>
      <c r="E38" s="42"/>
    </row>
    <row r="39" spans="1:18" x14ac:dyDescent="0.3">
      <c r="A39" s="1">
        <v>34</v>
      </c>
      <c r="B39" s="6" t="s">
        <v>24</v>
      </c>
      <c r="C39" s="10">
        <f t="shared" si="1"/>
        <v>64.174972109999985</v>
      </c>
      <c r="D39" s="10">
        <f t="shared" si="2"/>
        <v>80.409440120000028</v>
      </c>
      <c r="E39" s="41">
        <f>D39/C39-1</f>
        <v>0.25297195271348349</v>
      </c>
      <c r="H39" s="6" t="s">
        <v>24</v>
      </c>
      <c r="I39" s="10">
        <f t="shared" ref="I39:R39" si="11">I37+I27</f>
        <v>74.216873800000016</v>
      </c>
      <c r="J39" s="10">
        <f t="shared" si="11"/>
        <v>97.210981720000021</v>
      </c>
      <c r="K39" s="10">
        <f t="shared" si="11"/>
        <v>95.434274109999905</v>
      </c>
      <c r="L39" s="10">
        <f t="shared" si="11"/>
        <v>55.820120349999968</v>
      </c>
      <c r="M39" s="10">
        <f t="shared" si="11"/>
        <v>88.046273450000001</v>
      </c>
      <c r="N39" s="10">
        <f t="shared" si="11"/>
        <v>64.174972109999985</v>
      </c>
      <c r="O39" s="10">
        <f t="shared" si="11"/>
        <v>76.681309470000002</v>
      </c>
      <c r="P39" s="10">
        <f t="shared" si="11"/>
        <v>99.940549039999993</v>
      </c>
      <c r="Q39" s="10">
        <f t="shared" si="11"/>
        <v>86.441750209999952</v>
      </c>
      <c r="R39" s="10">
        <f t="shared" si="11"/>
        <v>80.409440120000028</v>
      </c>
    </row>
    <row r="40" spans="1:18" ht="5.25" customHeight="1" x14ac:dyDescent="0.3">
      <c r="A40" s="1">
        <v>35</v>
      </c>
      <c r="C40" s="1">
        <f t="shared" si="1"/>
        <v>0</v>
      </c>
      <c r="D40" s="1">
        <f t="shared" si="2"/>
        <v>0</v>
      </c>
      <c r="E40" s="42"/>
    </row>
    <row r="41" spans="1:18" x14ac:dyDescent="0.3">
      <c r="A41" s="1">
        <v>36</v>
      </c>
      <c r="B41" s="5" t="s">
        <v>25</v>
      </c>
      <c r="C41" s="9">
        <f t="shared" si="1"/>
        <v>-19.410159239999999</v>
      </c>
      <c r="D41" s="9">
        <f t="shared" si="2"/>
        <v>-19.03428903</v>
      </c>
      <c r="E41" s="39">
        <f>+D41/C41-1</f>
        <v>-1.9364612384292768E-2</v>
      </c>
      <c r="H41" s="5" t="s">
        <v>25</v>
      </c>
      <c r="I41" s="9">
        <v>-13.69505232</v>
      </c>
      <c r="J41" s="9">
        <v>-18.882848859999999</v>
      </c>
      <c r="K41" s="9">
        <v>-25.223481329999998</v>
      </c>
      <c r="L41" s="9">
        <v>23.721189170000002</v>
      </c>
      <c r="M41" s="9">
        <v>-23.63957486</v>
      </c>
      <c r="N41" s="9">
        <v>-19.410159239999999</v>
      </c>
      <c r="O41" s="9">
        <v>-22.801540859999999</v>
      </c>
      <c r="P41" s="9">
        <v>-32.56690244</v>
      </c>
      <c r="Q41" s="9">
        <v>-20.027774229999999</v>
      </c>
      <c r="R41" s="9">
        <v>-19.03428903</v>
      </c>
    </row>
    <row r="42" spans="1:18" ht="6.75" customHeight="1" x14ac:dyDescent="0.3">
      <c r="A42" s="1">
        <v>37</v>
      </c>
      <c r="E42" s="42"/>
    </row>
    <row r="43" spans="1:18" x14ac:dyDescent="0.3">
      <c r="A43" s="1">
        <v>38</v>
      </c>
      <c r="B43" s="3" t="s">
        <v>26</v>
      </c>
      <c r="C43" s="11">
        <f t="shared" si="1"/>
        <v>44.764812869999986</v>
      </c>
      <c r="D43" s="11">
        <f t="shared" si="2"/>
        <v>61.375151090000031</v>
      </c>
      <c r="E43" s="43">
        <f>D43/C43-1</f>
        <v>0.37105791703491708</v>
      </c>
      <c r="H43" s="3" t="s">
        <v>26</v>
      </c>
      <c r="I43" s="11">
        <f t="shared" ref="I43:R43" si="12">I39+I41</f>
        <v>60.521821480000014</v>
      </c>
      <c r="J43" s="11">
        <f t="shared" si="12"/>
        <v>78.328132860000025</v>
      </c>
      <c r="K43" s="11">
        <f t="shared" si="12"/>
        <v>70.210792779999906</v>
      </c>
      <c r="L43" s="11">
        <f t="shared" si="12"/>
        <v>79.54130951999997</v>
      </c>
      <c r="M43" s="11">
        <f t="shared" si="12"/>
        <v>64.406698590000005</v>
      </c>
      <c r="N43" s="11">
        <f t="shared" si="12"/>
        <v>44.764812869999986</v>
      </c>
      <c r="O43" s="11">
        <f t="shared" si="12"/>
        <v>53.879768609999999</v>
      </c>
      <c r="P43" s="11">
        <f t="shared" si="12"/>
        <v>67.373646600000001</v>
      </c>
      <c r="Q43" s="11">
        <f t="shared" si="12"/>
        <v>66.413975979999947</v>
      </c>
      <c r="R43" s="11">
        <f t="shared" si="12"/>
        <v>61.375151090000031</v>
      </c>
    </row>
    <row r="44" spans="1:18" ht="5.25" customHeight="1" x14ac:dyDescent="0.3">
      <c r="A44" s="1">
        <v>39</v>
      </c>
      <c r="E44" s="42"/>
    </row>
    <row r="45" spans="1:18" x14ac:dyDescent="0.3">
      <c r="A45" s="1">
        <v>40</v>
      </c>
      <c r="B45" s="5" t="s">
        <v>27</v>
      </c>
      <c r="C45" s="9">
        <f t="shared" si="1"/>
        <v>46.496960739999999</v>
      </c>
      <c r="D45" s="9">
        <f t="shared" si="2"/>
        <v>61.31662017</v>
      </c>
      <c r="E45" s="39">
        <f>+D45/C45-1</f>
        <v>0.31872318521780452</v>
      </c>
      <c r="H45" s="5" t="s">
        <v>27</v>
      </c>
      <c r="I45" s="9">
        <v>56.902500880000005</v>
      </c>
      <c r="J45" s="9">
        <v>67.315819309999995</v>
      </c>
      <c r="K45" s="9">
        <v>70.133168250000011</v>
      </c>
      <c r="L45" s="9">
        <v>76.633404929999998</v>
      </c>
      <c r="M45" s="9">
        <v>65.157573959999993</v>
      </c>
      <c r="N45" s="9">
        <v>46.496960739999999</v>
      </c>
      <c r="O45" s="9">
        <v>56.817234620000008</v>
      </c>
      <c r="P45" s="9">
        <v>71.850721269999994</v>
      </c>
      <c r="Q45" s="9">
        <v>64.403329459999995</v>
      </c>
      <c r="R45" s="9">
        <v>61.31662017</v>
      </c>
    </row>
    <row r="46" spans="1:18" x14ac:dyDescent="0.3">
      <c r="A46" s="1">
        <v>41</v>
      </c>
      <c r="B46" s="5" t="s">
        <v>28</v>
      </c>
      <c r="C46" s="9">
        <f t="shared" si="1"/>
        <v>-1.7321478700000001</v>
      </c>
      <c r="D46" s="9">
        <f t="shared" si="2"/>
        <v>5.8530919999999986E-2</v>
      </c>
      <c r="E46" s="54" t="s">
        <v>69</v>
      </c>
      <c r="H46" s="5" t="s">
        <v>28</v>
      </c>
      <c r="I46" s="9">
        <v>3.6193206</v>
      </c>
      <c r="J46" s="9">
        <v>11.012313550000002</v>
      </c>
      <c r="K46" s="9">
        <v>7.7624529999999914E-2</v>
      </c>
      <c r="L46" s="9">
        <v>2.90790405</v>
      </c>
      <c r="M46" s="9">
        <v>-0.7505204999999997</v>
      </c>
      <c r="N46" s="9">
        <v>-1.7321478700000001</v>
      </c>
      <c r="O46" s="9">
        <v>-2.9374660100000001</v>
      </c>
      <c r="P46" s="9">
        <v>-4.5044716199999995</v>
      </c>
      <c r="Q46" s="9">
        <v>2.0106465200000003</v>
      </c>
      <c r="R46" s="9">
        <v>5.8530919999999986E-2</v>
      </c>
    </row>
    <row r="48" spans="1:18" ht="101.45" customHeight="1" x14ac:dyDescent="0.3">
      <c r="B48" s="85" t="s">
        <v>121</v>
      </c>
      <c r="C48" s="85"/>
      <c r="D48" s="85"/>
      <c r="E48" s="85"/>
    </row>
  </sheetData>
  <mergeCells count="14">
    <mergeCell ref="B48:E48"/>
    <mergeCell ref="I6:I7"/>
    <mergeCell ref="J6:J7"/>
    <mergeCell ref="C6:C7"/>
    <mergeCell ref="D6:D7"/>
    <mergeCell ref="E6:E7"/>
    <mergeCell ref="R6:R7"/>
    <mergeCell ref="P6:P7"/>
    <mergeCell ref="Q6:Q7"/>
    <mergeCell ref="K6:K7"/>
    <mergeCell ref="L6:L7"/>
    <mergeCell ref="M6:M7"/>
    <mergeCell ref="N6:N7"/>
    <mergeCell ref="O6:O7"/>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5:AD90"/>
  <sheetViews>
    <sheetView topLeftCell="B1" zoomScale="80" zoomScaleNormal="80" workbookViewId="0">
      <selection activeCell="H42" sqref="H42"/>
    </sheetView>
  </sheetViews>
  <sheetFormatPr baseColWidth="10" defaultColWidth="11.42578125" defaultRowHeight="15" x14ac:dyDescent="0.3"/>
  <cols>
    <col min="1" max="1" width="0" style="1" hidden="1" customWidth="1"/>
    <col min="2" max="2" width="38.5703125" style="1" customWidth="1"/>
    <col min="3" max="7" width="11.42578125" style="1"/>
    <col min="8" max="8" width="42.28515625" style="1" customWidth="1"/>
    <col min="9" max="20" width="11.42578125" style="1" hidden="1" customWidth="1"/>
    <col min="21" max="27" width="11.42578125" style="1" customWidth="1"/>
    <col min="28" max="16384" width="11.42578125" style="1"/>
  </cols>
  <sheetData>
    <row r="5" spans="2:30" ht="23.25" x14ac:dyDescent="0.35">
      <c r="B5" s="13" t="s">
        <v>125</v>
      </c>
      <c r="C5" s="14"/>
      <c r="D5" s="14"/>
      <c r="E5" s="14"/>
      <c r="H5" s="13" t="s">
        <v>123</v>
      </c>
      <c r="I5" s="14"/>
      <c r="J5" s="14"/>
      <c r="K5" s="14"/>
      <c r="L5" s="14"/>
      <c r="M5" s="14"/>
      <c r="N5" s="14"/>
      <c r="O5" s="14"/>
      <c r="P5" s="14"/>
      <c r="Q5" s="14"/>
      <c r="R5" s="14"/>
      <c r="S5" s="14"/>
      <c r="T5" s="14"/>
      <c r="U5" s="14"/>
      <c r="V5" s="14"/>
      <c r="W5" s="14"/>
      <c r="X5" s="14"/>
      <c r="Y5" s="14"/>
      <c r="Z5" s="14"/>
      <c r="AA5" s="14"/>
      <c r="AB5" s="14"/>
      <c r="AC5" s="14"/>
      <c r="AD5" s="14"/>
    </row>
    <row r="7" spans="2:30" x14ac:dyDescent="0.3">
      <c r="B7" s="3" t="s">
        <v>35</v>
      </c>
      <c r="C7" s="84" t="s">
        <v>110</v>
      </c>
      <c r="D7" s="84" t="s">
        <v>118</v>
      </c>
      <c r="E7" s="84" t="s">
        <v>34</v>
      </c>
      <c r="H7" s="3" t="s">
        <v>35</v>
      </c>
      <c r="I7" s="83" t="s">
        <v>55</v>
      </c>
      <c r="J7" s="83" t="s">
        <v>56</v>
      </c>
      <c r="K7" s="83" t="s">
        <v>57</v>
      </c>
      <c r="L7" s="83" t="s">
        <v>58</v>
      </c>
      <c r="M7" s="83" t="s">
        <v>59</v>
      </c>
      <c r="N7" s="83" t="s">
        <v>60</v>
      </c>
      <c r="O7" s="83" t="s">
        <v>61</v>
      </c>
      <c r="P7" s="83" t="s">
        <v>62</v>
      </c>
      <c r="Q7" s="83" t="s">
        <v>54</v>
      </c>
      <c r="R7" s="83" t="s">
        <v>53</v>
      </c>
      <c r="S7" s="83" t="s">
        <v>52</v>
      </c>
      <c r="T7" s="83" t="s">
        <v>51</v>
      </c>
      <c r="U7" s="83" t="s">
        <v>50</v>
      </c>
      <c r="V7" s="83" t="s">
        <v>49</v>
      </c>
      <c r="W7" s="83" t="s">
        <v>48</v>
      </c>
      <c r="X7" s="83" t="s">
        <v>99</v>
      </c>
      <c r="Y7" s="83" t="s">
        <v>102</v>
      </c>
      <c r="Z7" s="83" t="s">
        <v>110</v>
      </c>
      <c r="AA7" s="83" t="s">
        <v>111</v>
      </c>
      <c r="AB7" s="83" t="s">
        <v>112</v>
      </c>
      <c r="AC7" s="83" t="s">
        <v>114</v>
      </c>
      <c r="AD7" s="83" t="s">
        <v>118</v>
      </c>
    </row>
    <row r="8" spans="2:30" x14ac:dyDescent="0.3">
      <c r="B8" s="3" t="s">
        <v>0</v>
      </c>
      <c r="C8" s="84"/>
      <c r="D8" s="84"/>
      <c r="E8" s="84"/>
      <c r="H8" s="3" t="s">
        <v>0</v>
      </c>
      <c r="I8" s="83"/>
      <c r="J8" s="83"/>
      <c r="K8" s="83"/>
      <c r="L8" s="83"/>
      <c r="M8" s="83"/>
      <c r="N8" s="83"/>
      <c r="O8" s="83"/>
      <c r="P8" s="83"/>
      <c r="Q8" s="83"/>
      <c r="R8" s="83"/>
      <c r="S8" s="83"/>
      <c r="T8" s="83"/>
      <c r="U8" s="83"/>
      <c r="V8" s="83"/>
      <c r="W8" s="83"/>
      <c r="X8" s="83"/>
      <c r="Y8" s="83"/>
      <c r="Z8" s="83"/>
      <c r="AA8" s="83"/>
      <c r="AB8" s="83"/>
      <c r="AC8" s="83"/>
      <c r="AD8" s="83"/>
    </row>
    <row r="10" spans="2:30" x14ac:dyDescent="0.3">
      <c r="B10" s="2" t="s">
        <v>90</v>
      </c>
      <c r="C10" s="10">
        <f t="shared" ref="C10:D10" si="0">SUM(C11:C15)</f>
        <v>331.38948341000003</v>
      </c>
      <c r="D10" s="10">
        <f t="shared" si="0"/>
        <v>328.03165390000004</v>
      </c>
      <c r="E10" s="41">
        <f t="shared" ref="E10:E33" si="1">D10/C10-1</f>
        <v>-1.0132577157995204E-2</v>
      </c>
      <c r="H10" s="2" t="s">
        <v>90</v>
      </c>
      <c r="I10" s="10">
        <f t="shared" ref="I10:AD10" si="2">SUM(I11:I15)</f>
        <v>413.24504169000005</v>
      </c>
      <c r="J10" s="10">
        <f t="shared" si="2"/>
        <v>408.02186204000003</v>
      </c>
      <c r="K10" s="10">
        <f t="shared" si="2"/>
        <v>351.24406281</v>
      </c>
      <c r="L10" s="10">
        <f t="shared" si="2"/>
        <v>330.06554598999998</v>
      </c>
      <c r="M10" s="10">
        <f t="shared" si="2"/>
        <v>317.00992109000003</v>
      </c>
      <c r="N10" s="10">
        <f t="shared" si="2"/>
        <v>358.45925773000005</v>
      </c>
      <c r="O10" s="10">
        <f t="shared" si="2"/>
        <v>336.99432981999996</v>
      </c>
      <c r="P10" s="10">
        <f t="shared" si="2"/>
        <v>295.2</v>
      </c>
      <c r="Q10" s="10">
        <f t="shared" si="2"/>
        <v>306.96104971</v>
      </c>
      <c r="R10" s="10">
        <f t="shared" si="2"/>
        <v>315.18701463999997</v>
      </c>
      <c r="S10" s="10">
        <f t="shared" si="2"/>
        <v>285.26607687999996</v>
      </c>
      <c r="T10" s="10">
        <f t="shared" si="2"/>
        <v>312.09914898</v>
      </c>
      <c r="U10" s="10">
        <f t="shared" si="2"/>
        <v>334.40723076999996</v>
      </c>
      <c r="V10" s="10">
        <f t="shared" si="2"/>
        <v>346.55393107000003</v>
      </c>
      <c r="W10" s="10">
        <f t="shared" si="2"/>
        <v>332.52042805999997</v>
      </c>
      <c r="X10" s="10">
        <f t="shared" si="2"/>
        <v>342.09300468000004</v>
      </c>
      <c r="Y10" s="10">
        <f t="shared" si="2"/>
        <v>353.94514801000003</v>
      </c>
      <c r="Z10" s="10">
        <f t="shared" si="2"/>
        <v>348.51063906000007</v>
      </c>
      <c r="AA10" s="10">
        <f t="shared" si="2"/>
        <v>320.06585212000005</v>
      </c>
      <c r="AB10" s="10">
        <f t="shared" si="2"/>
        <v>347.34600724000006</v>
      </c>
      <c r="AC10" s="10">
        <f t="shared" si="2"/>
        <v>341.17440872999998</v>
      </c>
      <c r="AD10" s="10">
        <f t="shared" si="2"/>
        <v>349.16334979000004</v>
      </c>
    </row>
    <row r="11" spans="2:30" x14ac:dyDescent="0.3">
      <c r="B11" s="5" t="s">
        <v>31</v>
      </c>
      <c r="C11" s="8">
        <v>149.08084310000004</v>
      </c>
      <c r="D11" s="8">
        <v>121.72846186000001</v>
      </c>
      <c r="E11" s="39">
        <f t="shared" si="1"/>
        <v>-0.1834734810404357</v>
      </c>
      <c r="H11" s="5" t="s">
        <v>31</v>
      </c>
      <c r="I11" s="8">
        <v>165.97948997</v>
      </c>
      <c r="J11" s="8">
        <v>188.49707770999999</v>
      </c>
      <c r="K11" s="8">
        <v>186.63649657999997</v>
      </c>
      <c r="L11" s="8">
        <v>183.50712984</v>
      </c>
      <c r="M11" s="8">
        <v>167.63677664999997</v>
      </c>
      <c r="N11" s="8">
        <v>168.71629537000001</v>
      </c>
      <c r="O11" s="8">
        <v>144.29418787999998</v>
      </c>
      <c r="P11" s="8">
        <v>138</v>
      </c>
      <c r="Q11" s="8">
        <v>170.95826696</v>
      </c>
      <c r="R11" s="8">
        <v>147.25569370999997</v>
      </c>
      <c r="S11" s="8">
        <v>156.87191987999995</v>
      </c>
      <c r="T11" s="8">
        <v>162.03334683000003</v>
      </c>
      <c r="U11" s="8">
        <v>174.07059289</v>
      </c>
      <c r="V11" s="8">
        <v>164.98893743000002</v>
      </c>
      <c r="W11" s="8">
        <v>169.59507421999999</v>
      </c>
      <c r="X11" s="8">
        <v>165.59156586</v>
      </c>
      <c r="Y11" s="8">
        <v>158.00478936000002</v>
      </c>
      <c r="Z11" s="8">
        <v>149.08084310000004</v>
      </c>
      <c r="AA11" s="8">
        <v>149.56883198000003</v>
      </c>
      <c r="AB11" s="8">
        <f>166.59727259-AB65</f>
        <v>142.61765528999999</v>
      </c>
      <c r="AC11" s="8">
        <f>147.98377703-AC65</f>
        <v>120.39152149</v>
      </c>
      <c r="AD11" s="8">
        <v>121.72846186000001</v>
      </c>
    </row>
    <row r="12" spans="2:30" x14ac:dyDescent="0.3">
      <c r="B12" s="5" t="s">
        <v>32</v>
      </c>
      <c r="C12" s="8">
        <v>141.20456390999999</v>
      </c>
      <c r="D12" s="8">
        <v>157.80371734000002</v>
      </c>
      <c r="E12" s="39">
        <f t="shared" si="1"/>
        <v>0.11755394422364351</v>
      </c>
      <c r="H12" s="5" t="s">
        <v>32</v>
      </c>
      <c r="I12" s="8">
        <v>150.77243078000001</v>
      </c>
      <c r="J12" s="8">
        <v>123.92201981999999</v>
      </c>
      <c r="K12" s="8">
        <v>120.66280569000001</v>
      </c>
      <c r="L12" s="8">
        <v>106.75534663999998</v>
      </c>
      <c r="M12" s="8">
        <v>73.031641460000003</v>
      </c>
      <c r="N12" s="8">
        <v>86.392646360000015</v>
      </c>
      <c r="O12" s="8">
        <v>96.76054504999999</v>
      </c>
      <c r="P12" s="8">
        <v>101.5</v>
      </c>
      <c r="Q12" s="8">
        <v>90.937325090000002</v>
      </c>
      <c r="R12" s="8">
        <v>88.196378429999996</v>
      </c>
      <c r="S12" s="8">
        <v>87.818069400000013</v>
      </c>
      <c r="T12" s="8">
        <v>116.27806589999999</v>
      </c>
      <c r="U12" s="8">
        <v>89.859854289999987</v>
      </c>
      <c r="V12" s="8">
        <v>97.303830059999996</v>
      </c>
      <c r="W12" s="8">
        <v>106.30207426000001</v>
      </c>
      <c r="X12" s="8">
        <v>120.75143799999999</v>
      </c>
      <c r="Y12" s="8">
        <v>141.77274656</v>
      </c>
      <c r="Z12" s="48">
        <v>141.20456391000002</v>
      </c>
      <c r="AA12" s="48">
        <v>142.17470935000003</v>
      </c>
      <c r="AB12" s="8">
        <f>180.04129248-AB66</f>
        <v>173.06724640000002</v>
      </c>
      <c r="AC12" s="8">
        <f>146.44409556-AC66</f>
        <v>138.10059637000001</v>
      </c>
      <c r="AD12" s="8">
        <v>157.80371734000002</v>
      </c>
    </row>
    <row r="13" spans="2:30" x14ac:dyDescent="0.3">
      <c r="B13" s="5" t="s">
        <v>33</v>
      </c>
      <c r="C13" s="8">
        <v>39.212896179999987</v>
      </c>
      <c r="D13" s="8">
        <v>43.158053299999992</v>
      </c>
      <c r="E13" s="39">
        <f t="shared" si="1"/>
        <v>0.10060866460591034</v>
      </c>
      <c r="H13" s="5" t="s">
        <v>33</v>
      </c>
      <c r="I13" s="8">
        <v>1.5028240999999996</v>
      </c>
      <c r="J13" s="8">
        <v>49.894180069999997</v>
      </c>
      <c r="K13" s="8">
        <v>4.4164942199999997</v>
      </c>
      <c r="L13" s="8">
        <v>0.11559316000000001</v>
      </c>
      <c r="M13" s="8">
        <v>37.97244843</v>
      </c>
      <c r="N13" s="8">
        <v>61.590290149999994</v>
      </c>
      <c r="O13" s="8">
        <v>31.334177269999998</v>
      </c>
      <c r="P13" s="8">
        <v>22.6</v>
      </c>
      <c r="Q13" s="8">
        <v>15.926482890000001</v>
      </c>
      <c r="R13" s="8">
        <v>35.506546749999998</v>
      </c>
      <c r="S13" s="8">
        <v>2.8136687299999998</v>
      </c>
      <c r="T13" s="8">
        <v>-0.83844826000000339</v>
      </c>
      <c r="U13" s="8">
        <v>25.163804219999999</v>
      </c>
      <c r="V13" s="8">
        <v>43.337346090000004</v>
      </c>
      <c r="W13" s="8">
        <v>14.417883880000002</v>
      </c>
      <c r="X13" s="8">
        <v>16.366405319999998</v>
      </c>
      <c r="Y13" s="8">
        <v>31.975062109999996</v>
      </c>
      <c r="Z13" s="48">
        <v>39.212896179999994</v>
      </c>
      <c r="AA13" s="48">
        <v>11.762932279999999</v>
      </c>
      <c r="AB13" s="8">
        <f>16.75352979-AB67</f>
        <v>10.462075560000002</v>
      </c>
      <c r="AC13" s="8">
        <f>52.61655842-AC67</f>
        <v>47.782119169999994</v>
      </c>
      <c r="AD13" s="8">
        <v>43.158053299999992</v>
      </c>
    </row>
    <row r="14" spans="2:30" x14ac:dyDescent="0.3">
      <c r="B14" s="5" t="s">
        <v>6</v>
      </c>
      <c r="C14" s="66">
        <v>0</v>
      </c>
      <c r="D14" s="66">
        <v>0</v>
      </c>
      <c r="E14" s="66">
        <v>0</v>
      </c>
      <c r="H14" s="5" t="s">
        <v>6</v>
      </c>
      <c r="I14" s="8">
        <v>41.156034410000004</v>
      </c>
      <c r="J14" s="8">
        <v>45.093694849999999</v>
      </c>
      <c r="K14" s="8">
        <v>39.179404990000002</v>
      </c>
      <c r="L14" s="8">
        <v>37.815244419999999</v>
      </c>
      <c r="M14" s="8">
        <v>36.024857099999998</v>
      </c>
      <c r="N14" s="8">
        <v>39.49619045</v>
      </c>
      <c r="O14" s="8">
        <v>37.876558799999998</v>
      </c>
      <c r="P14" s="8">
        <v>31.7</v>
      </c>
      <c r="Q14" s="8">
        <v>28.420257320000005</v>
      </c>
      <c r="R14" s="8">
        <v>43.988652819999999</v>
      </c>
      <c r="S14" s="8">
        <v>37.405080679999998</v>
      </c>
      <c r="T14" s="8">
        <v>32.429191130000014</v>
      </c>
      <c r="U14" s="8">
        <v>40.141034320000003</v>
      </c>
      <c r="V14" s="8">
        <v>35.80881715000001</v>
      </c>
      <c r="W14" s="8">
        <v>36.7775417</v>
      </c>
      <c r="X14" s="8">
        <v>35.566902029999994</v>
      </c>
      <c r="Y14" s="8">
        <v>16.340877990000003</v>
      </c>
      <c r="Z14" s="48">
        <v>13.981938399999999</v>
      </c>
      <c r="AA14" s="48">
        <v>11.010783440000001</v>
      </c>
      <c r="AB14" s="8">
        <f>24.26454872-AB68</f>
        <v>15.05952845</v>
      </c>
      <c r="AC14" s="8">
        <f>38.71666355-AC68</f>
        <v>29.612431260000001</v>
      </c>
      <c r="AD14" s="8">
        <v>18.083903670000005</v>
      </c>
    </row>
    <row r="15" spans="2:30" x14ac:dyDescent="0.3">
      <c r="B15" s="5" t="s">
        <v>4</v>
      </c>
      <c r="C15" s="8">
        <v>1.8911802199999999</v>
      </c>
      <c r="D15" s="8">
        <v>5.341421400000006</v>
      </c>
      <c r="E15" s="39">
        <f t="shared" si="1"/>
        <v>1.8243851873619987</v>
      </c>
      <c r="H15" s="5" t="s">
        <v>4</v>
      </c>
      <c r="I15" s="8">
        <v>53.834262430000003</v>
      </c>
      <c r="J15" s="8">
        <v>0.61488958999999999</v>
      </c>
      <c r="K15" s="8">
        <v>0.34886132999999997</v>
      </c>
      <c r="L15" s="8">
        <v>1.8722319299999999</v>
      </c>
      <c r="M15" s="8">
        <v>2.3441974500000002</v>
      </c>
      <c r="N15" s="8">
        <v>2.2638354000000001</v>
      </c>
      <c r="O15" s="8">
        <v>26.728860820000001</v>
      </c>
      <c r="P15" s="8">
        <v>1.4</v>
      </c>
      <c r="Q15" s="8">
        <v>0.71871744999999998</v>
      </c>
      <c r="R15" s="8">
        <v>0.23974292999999997</v>
      </c>
      <c r="S15" s="8">
        <v>0.35733819000000006</v>
      </c>
      <c r="T15" s="8">
        <v>2.1969933800000003</v>
      </c>
      <c r="U15" s="8">
        <v>5.1719450499999988</v>
      </c>
      <c r="V15" s="8">
        <v>5.1150003399999999</v>
      </c>
      <c r="W15" s="8">
        <v>5.4278540000000008</v>
      </c>
      <c r="X15" s="8">
        <v>3.8166934700000001</v>
      </c>
      <c r="Y15" s="8">
        <v>5.8516719899999989</v>
      </c>
      <c r="Z15" s="48">
        <v>5.0303974700000005</v>
      </c>
      <c r="AA15" s="48">
        <v>5.5485950699999984</v>
      </c>
      <c r="AB15" s="8">
        <f>7.28001204-AB69</f>
        <v>6.1395015399999995</v>
      </c>
      <c r="AC15" s="8">
        <f>8.01831073-AC69</f>
        <v>5.2877404399999994</v>
      </c>
      <c r="AD15" s="8">
        <v>8.3892136199999996</v>
      </c>
    </row>
    <row r="16" spans="2:30" x14ac:dyDescent="0.3">
      <c r="C16" s="35"/>
      <c r="D16" s="35"/>
      <c r="E16" s="44"/>
      <c r="I16" s="35"/>
      <c r="J16" s="35"/>
      <c r="K16" s="35"/>
      <c r="L16" s="35"/>
      <c r="M16" s="35"/>
      <c r="N16" s="35"/>
      <c r="O16" s="35"/>
      <c r="P16" s="35"/>
      <c r="Q16" s="35"/>
      <c r="R16" s="35"/>
      <c r="S16" s="35"/>
      <c r="T16" s="35"/>
      <c r="U16" s="35"/>
      <c r="V16" s="35"/>
      <c r="W16" s="35"/>
      <c r="X16" s="35"/>
      <c r="Y16" s="35"/>
      <c r="Z16" s="35"/>
      <c r="AA16" s="35"/>
      <c r="AB16" s="35"/>
      <c r="AC16" s="35"/>
      <c r="AD16" s="35"/>
    </row>
    <row r="17" spans="2:30" x14ac:dyDescent="0.3">
      <c r="B17" s="2" t="s">
        <v>91</v>
      </c>
      <c r="C17" s="10">
        <f t="shared" ref="C17" si="3">SUM(C18:C23)</f>
        <v>-183.57962296000002</v>
      </c>
      <c r="D17" s="10">
        <f t="shared" ref="D17" si="4">SUM(D18:D23)</f>
        <v>-171.98914806999997</v>
      </c>
      <c r="E17" s="41">
        <f t="shared" si="1"/>
        <v>-6.3135955413338496E-2</v>
      </c>
      <c r="H17" s="2" t="s">
        <v>91</v>
      </c>
      <c r="I17" s="10">
        <f t="shared" ref="I17:AD17" si="5">SUM(I18:I23)</f>
        <v>-275.35129532000002</v>
      </c>
      <c r="J17" s="10">
        <f t="shared" si="5"/>
        <v>-245.57660835000001</v>
      </c>
      <c r="K17" s="10">
        <f t="shared" si="5"/>
        <v>-213.76067669000003</v>
      </c>
      <c r="L17" s="10">
        <f t="shared" si="5"/>
        <v>-149.01963957999999</v>
      </c>
      <c r="M17" s="10">
        <f t="shared" si="5"/>
        <v>-205.1628939</v>
      </c>
      <c r="N17" s="10">
        <f t="shared" si="5"/>
        <v>-201.26569451</v>
      </c>
      <c r="O17" s="10">
        <f t="shared" si="5"/>
        <v>-136.02479528999999</v>
      </c>
      <c r="P17" s="10">
        <f t="shared" si="5"/>
        <v>-98.7</v>
      </c>
      <c r="Q17" s="10">
        <f t="shared" si="5"/>
        <v>-132.75843111</v>
      </c>
      <c r="R17" s="10">
        <f t="shared" si="5"/>
        <v>-150.15819938999999</v>
      </c>
      <c r="S17" s="10">
        <f t="shared" si="5"/>
        <v>-154.75086822</v>
      </c>
      <c r="T17" s="10">
        <f t="shared" si="5"/>
        <v>-142.57810221000003</v>
      </c>
      <c r="U17" s="10">
        <f t="shared" si="5"/>
        <v>-167.26441367999999</v>
      </c>
      <c r="V17" s="10">
        <f t="shared" si="5"/>
        <v>-175.75027431000001</v>
      </c>
      <c r="W17" s="10">
        <f t="shared" si="5"/>
        <v>-147.17653369000001</v>
      </c>
      <c r="X17" s="10">
        <f t="shared" si="5"/>
        <v>-124.09420446999999</v>
      </c>
      <c r="Y17" s="10">
        <f t="shared" si="5"/>
        <v>-173.83893678999999</v>
      </c>
      <c r="Z17" s="10">
        <f t="shared" si="5"/>
        <v>-181.13288132</v>
      </c>
      <c r="AA17" s="10">
        <f t="shared" si="5"/>
        <v>-146.27714492000001</v>
      </c>
      <c r="AB17" s="10">
        <f t="shared" si="5"/>
        <v>-116.14501448999999</v>
      </c>
      <c r="AC17" s="10">
        <f t="shared" si="5"/>
        <v>-170.51710205000001</v>
      </c>
      <c r="AD17" s="10">
        <f t="shared" si="5"/>
        <v>-174.55154309</v>
      </c>
    </row>
    <row r="18" spans="2:30" x14ac:dyDescent="0.3">
      <c r="B18" s="5" t="s">
        <v>6</v>
      </c>
      <c r="C18" s="48">
        <v>-36.479143980000003</v>
      </c>
      <c r="D18" s="48">
        <v>-32.381499959999985</v>
      </c>
      <c r="E18" s="39">
        <f t="shared" si="1"/>
        <v>-0.11232840392983412</v>
      </c>
      <c r="H18" s="5" t="s">
        <v>6</v>
      </c>
      <c r="I18" s="48">
        <v>-48.867815859999993</v>
      </c>
      <c r="J18" s="48">
        <v>-36.536173910000002</v>
      </c>
      <c r="K18" s="48">
        <v>-36.232333570000002</v>
      </c>
      <c r="L18" s="48">
        <v>-40.281641289999996</v>
      </c>
      <c r="M18" s="48">
        <v>-39.09474281</v>
      </c>
      <c r="N18" s="48">
        <v>-34.689093559999996</v>
      </c>
      <c r="O18" s="48">
        <v>-34.50693442</v>
      </c>
      <c r="P18" s="48">
        <v>-33.299999999999997</v>
      </c>
      <c r="Q18" s="48">
        <v>-34.796432860000003</v>
      </c>
      <c r="R18" s="48">
        <v>-36.290084159999992</v>
      </c>
      <c r="S18" s="48">
        <v>-35.83344452</v>
      </c>
      <c r="T18" s="48">
        <v>-34.904950130000003</v>
      </c>
      <c r="U18" s="48">
        <v>-40.870053159999991</v>
      </c>
      <c r="V18" s="48">
        <v>-36.607482070000003</v>
      </c>
      <c r="W18" s="48">
        <v>-38.842737790000008</v>
      </c>
      <c r="X18" s="48">
        <v>-40.685668849999999</v>
      </c>
      <c r="Y18" s="48">
        <v>-39.213009910000004</v>
      </c>
      <c r="Z18" s="48">
        <v>-31.770287920000001</v>
      </c>
      <c r="AA18" s="48">
        <v>-26.527575679999998</v>
      </c>
      <c r="AB18" s="48">
        <f>+-41.38133893-AB72</f>
        <v>-31.590185689999998</v>
      </c>
      <c r="AC18" s="48">
        <f>+-43.62111215-AC72</f>
        <v>-32.4816121</v>
      </c>
      <c r="AD18" s="48">
        <v>-33.566455930000004</v>
      </c>
    </row>
    <row r="19" spans="2:30" x14ac:dyDescent="0.3">
      <c r="B19" s="5" t="s">
        <v>7</v>
      </c>
      <c r="C19" s="48">
        <v>-8.2504383899999993</v>
      </c>
      <c r="D19" s="48">
        <v>-12.817846659999999</v>
      </c>
      <c r="E19" s="39">
        <f t="shared" si="1"/>
        <v>0.55359582777273486</v>
      </c>
      <c r="H19" s="5" t="s">
        <v>7</v>
      </c>
      <c r="I19" s="48">
        <v>-18.03067094</v>
      </c>
      <c r="J19" s="48">
        <v>-3.3591411400000002</v>
      </c>
      <c r="K19" s="48">
        <v>-20.369487509999999</v>
      </c>
      <c r="L19" s="48">
        <v>-29.147778030000001</v>
      </c>
      <c r="M19" s="48">
        <v>-4.5187954299999999</v>
      </c>
      <c r="N19" s="48">
        <v>-9.2159443799999998</v>
      </c>
      <c r="O19" s="48">
        <v>-10.38048916</v>
      </c>
      <c r="P19" s="48">
        <v>-16.5</v>
      </c>
      <c r="Q19" s="48">
        <v>-5.5495712899999994</v>
      </c>
      <c r="R19" s="48">
        <v>-6.9293658100000002</v>
      </c>
      <c r="S19" s="48">
        <v>-38.774170070000004</v>
      </c>
      <c r="T19" s="48">
        <v>-34.718472030000001</v>
      </c>
      <c r="U19" s="48">
        <v>-7.4512985600000015</v>
      </c>
      <c r="V19" s="48">
        <v>-8.1270384000000018</v>
      </c>
      <c r="W19" s="48">
        <v>-12.170216480000001</v>
      </c>
      <c r="X19" s="48">
        <v>-15.217228350000001</v>
      </c>
      <c r="Y19" s="48">
        <v>-7.642425229999998</v>
      </c>
      <c r="Z19" s="48">
        <v>-8.2504383900000011</v>
      </c>
      <c r="AA19" s="48">
        <v>-12.82375993</v>
      </c>
      <c r="AB19" s="48">
        <f>+-10.25707385-AB73</f>
        <v>-10.25332315</v>
      </c>
      <c r="AC19" s="48">
        <f>+-2.75986665-AC73</f>
        <v>-2.4879566200000003</v>
      </c>
      <c r="AD19" s="48">
        <v>-12.817846659999999</v>
      </c>
    </row>
    <row r="20" spans="2:30" x14ac:dyDescent="0.3">
      <c r="B20" s="5" t="s">
        <v>8</v>
      </c>
      <c r="C20" s="48">
        <v>-91.752166530000011</v>
      </c>
      <c r="D20" s="48">
        <v>-82.95703229999998</v>
      </c>
      <c r="E20" s="39">
        <f t="shared" si="1"/>
        <v>-9.585751010167487E-2</v>
      </c>
      <c r="H20" s="5" t="s">
        <v>8</v>
      </c>
      <c r="I20" s="48">
        <v>-143.05921096000003</v>
      </c>
      <c r="J20" s="48">
        <v>-115.28823815000001</v>
      </c>
      <c r="K20" s="48">
        <v>-64.623558400000007</v>
      </c>
      <c r="L20" s="48">
        <v>-18.6760698</v>
      </c>
      <c r="M20" s="48">
        <v>-95.077913459999991</v>
      </c>
      <c r="N20" s="48">
        <v>-96.246866560000015</v>
      </c>
      <c r="O20" s="48">
        <v>-48.765143299999998</v>
      </c>
      <c r="P20" s="48">
        <v>-11.3</v>
      </c>
      <c r="Q20" s="48">
        <v>-55.49246531</v>
      </c>
      <c r="R20" s="48">
        <v>-48.625604530000011</v>
      </c>
      <c r="S20" s="48">
        <v>-29.351692119999996</v>
      </c>
      <c r="T20" s="48">
        <v>-46.499171390000001</v>
      </c>
      <c r="U20" s="48">
        <v>-74.428830290000008</v>
      </c>
      <c r="V20" s="48">
        <v>-74.671550390000007</v>
      </c>
      <c r="W20" s="48">
        <v>-44.972191940000002</v>
      </c>
      <c r="X20" s="48">
        <v>-22.572275439999995</v>
      </c>
      <c r="Y20" s="48">
        <v>-81.834264469999994</v>
      </c>
      <c r="Z20" s="48">
        <v>-91.752166529999982</v>
      </c>
      <c r="AA20" s="48">
        <v>-63.272530880000005</v>
      </c>
      <c r="AB20" s="48">
        <f>+-51.49424782-AB74</f>
        <v>-26.208514819999998</v>
      </c>
      <c r="AC20" s="48">
        <f>+-107.34780074-AC74</f>
        <v>-83.981458739999994</v>
      </c>
      <c r="AD20" s="48">
        <v>-82.957032299999995</v>
      </c>
    </row>
    <row r="21" spans="2:30" x14ac:dyDescent="0.3">
      <c r="B21" s="5" t="s">
        <v>9</v>
      </c>
      <c r="C21" s="48">
        <v>-4.8410693299999998</v>
      </c>
      <c r="D21" s="48">
        <v>-2.1464366200000011</v>
      </c>
      <c r="E21" s="39">
        <f t="shared" si="1"/>
        <v>-0.55661931823645228</v>
      </c>
      <c r="H21" s="5" t="s">
        <v>9</v>
      </c>
      <c r="I21" s="48">
        <v>-22.91047446</v>
      </c>
      <c r="J21" s="48">
        <v>-43.010705830000006</v>
      </c>
      <c r="K21" s="48">
        <v>-40.598616540000009</v>
      </c>
      <c r="L21" s="48">
        <v>-3.2749097999999996</v>
      </c>
      <c r="M21" s="48">
        <v>-22.496929869999999</v>
      </c>
      <c r="N21" s="48">
        <v>-18.099470910000001</v>
      </c>
      <c r="O21" s="48">
        <v>-1.5190404399999999</v>
      </c>
      <c r="P21" s="48">
        <v>-2</v>
      </c>
      <c r="Q21" s="48">
        <v>-2.0902260800000003</v>
      </c>
      <c r="R21" s="48">
        <v>-23.231005809999996</v>
      </c>
      <c r="S21" s="48">
        <v>-13.097372880000002</v>
      </c>
      <c r="T21" s="48">
        <v>-2.91121008</v>
      </c>
      <c r="U21" s="48">
        <v>-6.969882909999999</v>
      </c>
      <c r="V21" s="48">
        <v>-16.593912970000002</v>
      </c>
      <c r="W21" s="48">
        <v>-4.990396689999999</v>
      </c>
      <c r="X21" s="48">
        <v>-2.59113864</v>
      </c>
      <c r="Y21" s="48">
        <v>-3.0085850299999999</v>
      </c>
      <c r="Z21" s="48">
        <v>-4.8410693299999998</v>
      </c>
      <c r="AA21" s="48">
        <v>-3.6377084799999992</v>
      </c>
      <c r="AB21" s="48">
        <v>-3.5823068500000002</v>
      </c>
      <c r="AC21" s="48">
        <f>+-9.14473538-AC75</f>
        <v>-9.1447353800000002</v>
      </c>
      <c r="AD21" s="48">
        <v>-2.1464366200000002</v>
      </c>
    </row>
    <row r="22" spans="2:30" x14ac:dyDescent="0.3">
      <c r="B22" s="5" t="s">
        <v>10</v>
      </c>
      <c r="C22" s="48">
        <v>-22.376940360000006</v>
      </c>
      <c r="D22" s="48">
        <v>-25.329593030000002</v>
      </c>
      <c r="E22" s="39">
        <f t="shared" si="1"/>
        <v>0.13195068773915231</v>
      </c>
      <c r="H22" s="5" t="s">
        <v>10</v>
      </c>
      <c r="I22" s="48">
        <v>-23.41590613</v>
      </c>
      <c r="J22" s="48">
        <v>-25.471509249999997</v>
      </c>
      <c r="K22" s="48">
        <v>-24.229548649999998</v>
      </c>
      <c r="L22" s="48">
        <v>-19.288644770000001</v>
      </c>
      <c r="M22" s="48">
        <v>-26.610703540000006</v>
      </c>
      <c r="N22" s="48">
        <v>-22.176684440000002</v>
      </c>
      <c r="O22" s="48">
        <v>-20.448241290000002</v>
      </c>
      <c r="P22" s="48">
        <v>-8.4</v>
      </c>
      <c r="Q22" s="48">
        <v>-18.665973629999996</v>
      </c>
      <c r="R22" s="48">
        <v>-16.86084202</v>
      </c>
      <c r="S22" s="48">
        <v>-18.844166730000001</v>
      </c>
      <c r="T22" s="48">
        <v>-9.0097784399999981</v>
      </c>
      <c r="U22" s="48">
        <v>-18.267814120000004</v>
      </c>
      <c r="V22" s="48">
        <v>-19.587985530000005</v>
      </c>
      <c r="W22" s="48">
        <v>-21.775002570000002</v>
      </c>
      <c r="X22" s="48">
        <v>-14.182322660000001</v>
      </c>
      <c r="Y22" s="48">
        <v>-22.118387720000001</v>
      </c>
      <c r="Z22" s="48">
        <v>-22.376940360000003</v>
      </c>
      <c r="AA22" s="48">
        <v>-23.068639080000001</v>
      </c>
      <c r="AB22" s="48">
        <v>-19.234630080000002</v>
      </c>
      <c r="AC22" s="48">
        <v>-25.951997500000001</v>
      </c>
      <c r="AD22" s="48">
        <v>-22.027281030000001</v>
      </c>
    </row>
    <row r="23" spans="2:30" x14ac:dyDescent="0.3">
      <c r="B23" s="5" t="s">
        <v>93</v>
      </c>
      <c r="C23" s="48">
        <v>-19.879864369999982</v>
      </c>
      <c r="D23" s="48">
        <v>-16.35673950000001</v>
      </c>
      <c r="E23" s="39">
        <f t="shared" si="1"/>
        <v>-0.17722076994230396</v>
      </c>
      <c r="H23" s="5" t="s">
        <v>93</v>
      </c>
      <c r="I23" s="48">
        <v>-19.06721697</v>
      </c>
      <c r="J23" s="48">
        <v>-21.910840070000003</v>
      </c>
      <c r="K23" s="48">
        <v>-27.707132019999996</v>
      </c>
      <c r="L23" s="48">
        <v>-38.350595890000008</v>
      </c>
      <c r="M23" s="48">
        <v>-17.36380879</v>
      </c>
      <c r="N23" s="48">
        <v>-20.837634659999999</v>
      </c>
      <c r="O23" s="48">
        <v>-20.404946679999998</v>
      </c>
      <c r="P23" s="48">
        <v>-27.2</v>
      </c>
      <c r="Q23" s="48">
        <v>-16.163761940000001</v>
      </c>
      <c r="R23" s="48">
        <v>-18.221297059999998</v>
      </c>
      <c r="S23" s="48">
        <v>-18.850021900000002</v>
      </c>
      <c r="T23" s="48">
        <v>-14.534520140000001</v>
      </c>
      <c r="U23" s="48">
        <v>-19.276534640000001</v>
      </c>
      <c r="V23" s="48">
        <v>-20.162304949999999</v>
      </c>
      <c r="W23" s="48">
        <v>-24.425988220000001</v>
      </c>
      <c r="X23" s="48">
        <v>-28.84557053</v>
      </c>
      <c r="Y23" s="48">
        <v>-20.02226443</v>
      </c>
      <c r="Z23" s="48">
        <v>-22.141978789999996</v>
      </c>
      <c r="AA23" s="48">
        <v>-16.946930869999999</v>
      </c>
      <c r="AB23" s="48">
        <f>+-28.76885844-AB76</f>
        <v>-25.276053900000001</v>
      </c>
      <c r="AC23" s="48">
        <f>+-19.58196495-AC76</f>
        <v>-16.469341709999998</v>
      </c>
      <c r="AD23" s="48">
        <v>-21.036490550000003</v>
      </c>
    </row>
    <row r="24" spans="2:30" x14ac:dyDescent="0.3">
      <c r="C24" s="35"/>
      <c r="D24" s="35"/>
      <c r="E24" s="44"/>
      <c r="I24" s="35"/>
      <c r="J24" s="35"/>
      <c r="K24" s="35"/>
      <c r="L24" s="35"/>
      <c r="M24" s="35"/>
      <c r="N24" s="35"/>
      <c r="O24" s="35"/>
      <c r="P24" s="35"/>
      <c r="Q24" s="35"/>
      <c r="R24" s="35"/>
      <c r="S24" s="35"/>
      <c r="T24" s="35"/>
      <c r="U24" s="35"/>
      <c r="V24" s="35"/>
      <c r="W24" s="35"/>
      <c r="X24" s="35"/>
      <c r="Y24" s="35"/>
      <c r="Z24" s="35"/>
      <c r="AA24" s="35"/>
      <c r="AB24" s="35"/>
      <c r="AC24" s="35"/>
      <c r="AD24" s="35"/>
    </row>
    <row r="25" spans="2:30" x14ac:dyDescent="0.3">
      <c r="B25" s="2" t="s">
        <v>92</v>
      </c>
      <c r="C25" s="10">
        <f t="shared" ref="C25:D25" si="6">C17+C10</f>
        <v>147.80986045</v>
      </c>
      <c r="D25" s="10">
        <f t="shared" si="6"/>
        <v>156.04250583000007</v>
      </c>
      <c r="E25" s="41">
        <f t="shared" si="1"/>
        <v>5.5697538411417113E-2</v>
      </c>
      <c r="H25" s="2" t="s">
        <v>92</v>
      </c>
      <c r="I25" s="10">
        <f t="shared" ref="I25:AD25" si="7">I17+I10</f>
        <v>137.89374637000003</v>
      </c>
      <c r="J25" s="10">
        <f t="shared" si="7"/>
        <v>162.44525369000002</v>
      </c>
      <c r="K25" s="10">
        <f t="shared" si="7"/>
        <v>137.48338611999998</v>
      </c>
      <c r="L25" s="10">
        <f t="shared" si="7"/>
        <v>181.04590640999999</v>
      </c>
      <c r="M25" s="10">
        <f t="shared" si="7"/>
        <v>111.84702719000003</v>
      </c>
      <c r="N25" s="10">
        <f t="shared" si="7"/>
        <v>157.19356322000004</v>
      </c>
      <c r="O25" s="10">
        <f t="shared" si="7"/>
        <v>200.96953452999998</v>
      </c>
      <c r="P25" s="10">
        <f t="shared" si="7"/>
        <v>196.5</v>
      </c>
      <c r="Q25" s="10">
        <f t="shared" si="7"/>
        <v>174.20261859999999</v>
      </c>
      <c r="R25" s="10">
        <f t="shared" si="7"/>
        <v>165.02881524999998</v>
      </c>
      <c r="S25" s="10">
        <f t="shared" si="7"/>
        <v>130.51520865999996</v>
      </c>
      <c r="T25" s="10">
        <f t="shared" si="7"/>
        <v>169.52104676999997</v>
      </c>
      <c r="U25" s="10">
        <f t="shared" si="7"/>
        <v>167.14281708999997</v>
      </c>
      <c r="V25" s="10">
        <f t="shared" si="7"/>
        <v>170.80365676000002</v>
      </c>
      <c r="W25" s="10">
        <f t="shared" si="7"/>
        <v>185.34389436999996</v>
      </c>
      <c r="X25" s="10">
        <f t="shared" si="7"/>
        <v>217.99880021000004</v>
      </c>
      <c r="Y25" s="10">
        <f t="shared" si="7"/>
        <v>180.10621122000003</v>
      </c>
      <c r="Z25" s="10">
        <f t="shared" si="7"/>
        <v>167.37775774000008</v>
      </c>
      <c r="AA25" s="10">
        <f t="shared" si="7"/>
        <v>173.78870720000003</v>
      </c>
      <c r="AB25" s="10">
        <f t="shared" si="7"/>
        <v>231.20099275000007</v>
      </c>
      <c r="AC25" s="10">
        <f t="shared" si="7"/>
        <v>170.65730667999998</v>
      </c>
      <c r="AD25" s="10">
        <f t="shared" si="7"/>
        <v>174.61180670000005</v>
      </c>
    </row>
    <row r="26" spans="2:30" x14ac:dyDescent="0.3">
      <c r="C26" s="35"/>
      <c r="D26" s="35"/>
      <c r="E26" s="44"/>
      <c r="I26" s="35"/>
      <c r="J26" s="35"/>
      <c r="K26" s="35"/>
      <c r="L26" s="35"/>
      <c r="M26" s="35"/>
      <c r="N26" s="35"/>
      <c r="O26" s="35"/>
      <c r="P26" s="35"/>
      <c r="Q26" s="35"/>
      <c r="R26" s="35"/>
      <c r="S26" s="35"/>
      <c r="T26" s="35"/>
      <c r="U26" s="35"/>
      <c r="V26" s="35"/>
      <c r="W26" s="35"/>
      <c r="X26" s="35"/>
      <c r="Y26" s="35"/>
      <c r="Z26" s="35"/>
      <c r="AA26" s="35"/>
      <c r="AB26" s="35"/>
      <c r="AC26" s="35"/>
      <c r="AD26" s="35"/>
    </row>
    <row r="27" spans="2:30" x14ac:dyDescent="0.3">
      <c r="B27" s="5" t="s">
        <v>13</v>
      </c>
      <c r="C27" s="48">
        <v>-18.475289360000001</v>
      </c>
      <c r="D27" s="48">
        <v>-17.086857370000001</v>
      </c>
      <c r="E27" s="39">
        <f t="shared" si="1"/>
        <v>-7.5150757476417751E-2</v>
      </c>
      <c r="H27" s="5" t="s">
        <v>13</v>
      </c>
      <c r="I27" s="48">
        <v>-13.511288560000001</v>
      </c>
      <c r="J27" s="48">
        <v>-15.730694790000001</v>
      </c>
      <c r="K27" s="48">
        <v>-14.94375202</v>
      </c>
      <c r="L27" s="48">
        <v>-15.521342820000001</v>
      </c>
      <c r="M27" s="48">
        <v>-13.954037509999999</v>
      </c>
      <c r="N27" s="48">
        <v>-14.80528035</v>
      </c>
      <c r="O27" s="48">
        <v>-13.73918705</v>
      </c>
      <c r="P27" s="48">
        <v>-13.4</v>
      </c>
      <c r="Q27" s="48">
        <v>-14.19469086</v>
      </c>
      <c r="R27" s="48">
        <v>-15.02867498</v>
      </c>
      <c r="S27" s="48">
        <v>-16.110477190000001</v>
      </c>
      <c r="T27" s="48">
        <v>-16.584576090000002</v>
      </c>
      <c r="U27" s="48">
        <v>-15.693575970000001</v>
      </c>
      <c r="V27" s="48">
        <v>-16.256828450000004</v>
      </c>
      <c r="W27" s="48">
        <v>-17.746854899999999</v>
      </c>
      <c r="X27" s="48">
        <v>-21.240113520000001</v>
      </c>
      <c r="Y27" s="48">
        <v>-19.39190297</v>
      </c>
      <c r="Z27" s="48">
        <v>-18.475289360000001</v>
      </c>
      <c r="AA27" s="48">
        <v>-17.7550566</v>
      </c>
      <c r="AB27" s="48">
        <f>+-19.52008206-AB80</f>
        <v>-18.015688310000002</v>
      </c>
      <c r="AC27" s="48">
        <f>+-18.14563445-AC80</f>
        <v>-16.681628180000001</v>
      </c>
      <c r="AD27" s="48">
        <v>-17.086857370000001</v>
      </c>
    </row>
    <row r="28" spans="2:30" x14ac:dyDescent="0.3">
      <c r="B28" s="5" t="s">
        <v>94</v>
      </c>
      <c r="C28" s="48">
        <v>-4.5936944199999985</v>
      </c>
      <c r="D28" s="48">
        <v>-5.7862738000000009</v>
      </c>
      <c r="E28" s="39">
        <f t="shared" si="1"/>
        <v>0.25961225779576402</v>
      </c>
      <c r="H28" s="5" t="s">
        <v>94</v>
      </c>
      <c r="I28" s="48">
        <v>-4.6297593400000006</v>
      </c>
      <c r="J28" s="48">
        <v>-5.884523660000001</v>
      </c>
      <c r="K28" s="48">
        <v>-5.5682920600000001</v>
      </c>
      <c r="L28" s="48">
        <v>-6.5220293500000004</v>
      </c>
      <c r="M28" s="48">
        <v>-5.1150877699999997</v>
      </c>
      <c r="N28" s="48">
        <v>-6.0219605700000001</v>
      </c>
      <c r="O28" s="48">
        <v>-6.3402090600000003</v>
      </c>
      <c r="P28" s="48">
        <v>-11</v>
      </c>
      <c r="Q28" s="48">
        <v>-6.5020823799999965</v>
      </c>
      <c r="R28" s="48">
        <v>-8.009772479999997</v>
      </c>
      <c r="S28" s="48">
        <v>-7.9525749999999995</v>
      </c>
      <c r="T28" s="48">
        <v>-9.1727891499999981</v>
      </c>
      <c r="U28" s="48">
        <v>-8.0615386299999994</v>
      </c>
      <c r="V28" s="48">
        <v>-6.9816923099999997</v>
      </c>
      <c r="W28" s="48">
        <v>-7.0422980900000001</v>
      </c>
      <c r="X28" s="48">
        <v>-9.7220474300000017</v>
      </c>
      <c r="Y28" s="48">
        <v>-7.0583630999999993</v>
      </c>
      <c r="Z28" s="48">
        <v>-7.2230401099999986</v>
      </c>
      <c r="AA28" s="48">
        <v>-7.0517470699999993</v>
      </c>
      <c r="AB28" s="48">
        <f>+-10.4942574-AB81</f>
        <v>-9.1196006500000006</v>
      </c>
      <c r="AC28" s="48">
        <f>+-5.57047109-AC81</f>
        <v>-5.0442705099999996</v>
      </c>
      <c r="AD28" s="48">
        <v>-5.9828553699999993</v>
      </c>
    </row>
    <row r="29" spans="2:30" x14ac:dyDescent="0.3">
      <c r="B29" s="5" t="s">
        <v>15</v>
      </c>
      <c r="C29" s="48">
        <v>-48.918103180000024</v>
      </c>
      <c r="D29" s="48">
        <v>-48.664594989999983</v>
      </c>
      <c r="E29" s="39">
        <f t="shared" si="1"/>
        <v>-5.1822980352943526E-3</v>
      </c>
      <c r="H29" s="5" t="s">
        <v>15</v>
      </c>
      <c r="I29" s="48">
        <v>-41.951805570000005</v>
      </c>
      <c r="J29" s="48">
        <v>-46.185509760000002</v>
      </c>
      <c r="K29" s="48">
        <v>-46.341475529999997</v>
      </c>
      <c r="L29" s="48">
        <v>-47.895657579999998</v>
      </c>
      <c r="M29" s="48">
        <v>-47.45246057</v>
      </c>
      <c r="N29" s="48">
        <v>-48.384940369999995</v>
      </c>
      <c r="O29" s="48">
        <v>-48.861872340000005</v>
      </c>
      <c r="P29" s="48">
        <v>-49</v>
      </c>
      <c r="Q29" s="48">
        <v>-47.859028649999999</v>
      </c>
      <c r="R29" s="48">
        <v>-47.103709719999998</v>
      </c>
      <c r="S29" s="48">
        <v>-49.023684110000005</v>
      </c>
      <c r="T29" s="48">
        <v>-52.043309690000001</v>
      </c>
      <c r="U29" s="48">
        <v>-51.537491310000007</v>
      </c>
      <c r="V29" s="48">
        <v>-52.338320930000002</v>
      </c>
      <c r="W29" s="48">
        <v>-51.70911498000001</v>
      </c>
      <c r="X29" s="48">
        <v>-35.670721700000001</v>
      </c>
      <c r="Y29" s="48">
        <v>-50.468340229999995</v>
      </c>
      <c r="Z29" s="48">
        <v>-50.577710360000012</v>
      </c>
      <c r="AA29" s="48">
        <v>-51.21465688</v>
      </c>
      <c r="AB29" s="48">
        <f>+-60.0190398-AB82</f>
        <v>-51.431602030000001</v>
      </c>
      <c r="AC29" s="48">
        <f>+-60.01854023-AC82</f>
        <v>-51.432426159999999</v>
      </c>
      <c r="AD29" s="48">
        <v>-52.281024099999996</v>
      </c>
    </row>
    <row r="30" spans="2:30" x14ac:dyDescent="0.3">
      <c r="C30" s="35"/>
      <c r="D30" s="35"/>
      <c r="E30" s="44"/>
      <c r="I30" s="35"/>
      <c r="J30" s="35"/>
      <c r="K30" s="35"/>
      <c r="L30" s="35"/>
      <c r="M30" s="35"/>
      <c r="N30" s="35"/>
      <c r="O30" s="35"/>
      <c r="P30" s="35"/>
      <c r="Q30" s="35"/>
      <c r="R30" s="35"/>
      <c r="S30" s="35"/>
      <c r="T30" s="35"/>
      <c r="U30" s="35"/>
      <c r="V30" s="35"/>
      <c r="W30" s="35"/>
      <c r="X30" s="35"/>
      <c r="Y30" s="35"/>
      <c r="Z30" s="35"/>
      <c r="AA30" s="35"/>
      <c r="AB30" s="35"/>
      <c r="AC30" s="35"/>
      <c r="AD30" s="35"/>
    </row>
    <row r="31" spans="2:30" x14ac:dyDescent="0.3">
      <c r="B31" s="2" t="s">
        <v>95</v>
      </c>
      <c r="C31" s="10">
        <f t="shared" ref="C31:D31" si="8">C25+C27+C28+C29</f>
        <v>75.822773489999975</v>
      </c>
      <c r="D31" s="10">
        <f t="shared" si="8"/>
        <v>84.50477967000009</v>
      </c>
      <c r="E31" s="41">
        <f t="shared" si="1"/>
        <v>0.11450393833384576</v>
      </c>
      <c r="H31" s="2" t="s">
        <v>95</v>
      </c>
      <c r="I31" s="10">
        <f t="shared" ref="I31:AD31" si="9">I25+I27+I28+I29</f>
        <v>77.800892900000022</v>
      </c>
      <c r="J31" s="10">
        <f t="shared" si="9"/>
        <v>94.644525479999999</v>
      </c>
      <c r="K31" s="10">
        <f t="shared" si="9"/>
        <v>70.629866509999971</v>
      </c>
      <c r="L31" s="10">
        <f t="shared" si="9"/>
        <v>111.10687665999998</v>
      </c>
      <c r="M31" s="10">
        <f t="shared" si="9"/>
        <v>45.325441340000026</v>
      </c>
      <c r="N31" s="10">
        <f t="shared" si="9"/>
        <v>87.98138193000004</v>
      </c>
      <c r="O31" s="10">
        <f t="shared" si="9"/>
        <v>132.02826607999998</v>
      </c>
      <c r="P31" s="10">
        <f t="shared" si="9"/>
        <v>123.1</v>
      </c>
      <c r="Q31" s="10">
        <f t="shared" si="9"/>
        <v>105.64681671</v>
      </c>
      <c r="R31" s="10">
        <f t="shared" si="9"/>
        <v>94.886658069999967</v>
      </c>
      <c r="S31" s="10">
        <f t="shared" si="9"/>
        <v>57.428472359999958</v>
      </c>
      <c r="T31" s="10">
        <f t="shared" si="9"/>
        <v>91.720371839999956</v>
      </c>
      <c r="U31" s="10">
        <f t="shared" si="9"/>
        <v>91.850211179999945</v>
      </c>
      <c r="V31" s="10">
        <f t="shared" si="9"/>
        <v>95.226815070000015</v>
      </c>
      <c r="W31" s="10">
        <f t="shared" si="9"/>
        <v>108.84562639999996</v>
      </c>
      <c r="X31" s="10">
        <f t="shared" si="9"/>
        <v>151.36591756000004</v>
      </c>
      <c r="Y31" s="10">
        <f t="shared" si="9"/>
        <v>103.18760492000004</v>
      </c>
      <c r="Z31" s="10">
        <f t="shared" si="9"/>
        <v>91.101717910000062</v>
      </c>
      <c r="AA31" s="10">
        <f t="shared" si="9"/>
        <v>97.767246650000033</v>
      </c>
      <c r="AB31" s="10">
        <f t="shared" si="9"/>
        <v>152.63410176000008</v>
      </c>
      <c r="AC31" s="10">
        <f t="shared" si="9"/>
        <v>97.498981829999991</v>
      </c>
      <c r="AD31" s="10">
        <f t="shared" si="9"/>
        <v>99.261069860000049</v>
      </c>
    </row>
    <row r="32" spans="2:30" x14ac:dyDescent="0.3">
      <c r="B32" s="45"/>
      <c r="C32" s="46"/>
      <c r="D32" s="46"/>
      <c r="E32" s="47"/>
      <c r="H32" s="45"/>
      <c r="I32" s="46"/>
      <c r="J32" s="46"/>
      <c r="K32" s="46"/>
      <c r="L32" s="46"/>
      <c r="M32" s="46"/>
      <c r="N32" s="46"/>
      <c r="O32" s="46"/>
      <c r="P32" s="46"/>
      <c r="Q32" s="46"/>
      <c r="R32" s="46"/>
      <c r="S32" s="46"/>
      <c r="T32" s="46"/>
      <c r="U32" s="46"/>
      <c r="V32" s="46"/>
      <c r="W32" s="46"/>
      <c r="X32" s="46"/>
      <c r="Y32" s="46"/>
      <c r="Z32" s="46"/>
      <c r="AA32" s="46"/>
      <c r="AB32" s="46"/>
      <c r="AC32" s="46"/>
      <c r="AD32" s="46"/>
    </row>
    <row r="33" spans="1:30" x14ac:dyDescent="0.3">
      <c r="B33" s="2" t="s">
        <v>17</v>
      </c>
      <c r="C33" s="10">
        <f t="shared" ref="C33:D33" si="10">C31-C29</f>
        <v>124.74087667000001</v>
      </c>
      <c r="D33" s="10">
        <f t="shared" si="10"/>
        <v>133.16937466000007</v>
      </c>
      <c r="E33" s="41">
        <f t="shared" si="1"/>
        <v>6.7568051588233757E-2</v>
      </c>
      <c r="H33" s="2" t="s">
        <v>17</v>
      </c>
      <c r="I33" s="10">
        <f t="shared" ref="I33:AD33" si="11">I31-I29</f>
        <v>119.75269847000003</v>
      </c>
      <c r="J33" s="10">
        <f t="shared" si="11"/>
        <v>140.83003524</v>
      </c>
      <c r="K33" s="10">
        <f t="shared" si="11"/>
        <v>116.97134203999997</v>
      </c>
      <c r="L33" s="10">
        <f t="shared" si="11"/>
        <v>159.00253423999999</v>
      </c>
      <c r="M33" s="10">
        <f t="shared" si="11"/>
        <v>92.777901910000026</v>
      </c>
      <c r="N33" s="10">
        <f t="shared" si="11"/>
        <v>136.36632230000004</v>
      </c>
      <c r="O33" s="10">
        <f t="shared" si="11"/>
        <v>180.89013841999997</v>
      </c>
      <c r="P33" s="10">
        <f t="shared" si="11"/>
        <v>172.1</v>
      </c>
      <c r="Q33" s="10">
        <f t="shared" si="11"/>
        <v>153.50584536</v>
      </c>
      <c r="R33" s="10">
        <f t="shared" si="11"/>
        <v>141.99036778999996</v>
      </c>
      <c r="S33" s="10">
        <f t="shared" si="11"/>
        <v>106.45215646999996</v>
      </c>
      <c r="T33" s="10">
        <f t="shared" si="11"/>
        <v>143.76368152999996</v>
      </c>
      <c r="U33" s="10">
        <f t="shared" si="11"/>
        <v>143.38770248999995</v>
      </c>
      <c r="V33" s="10">
        <f t="shared" si="11"/>
        <v>147.56513600000002</v>
      </c>
      <c r="W33" s="10">
        <f t="shared" si="11"/>
        <v>160.55474137999997</v>
      </c>
      <c r="X33" s="10">
        <f t="shared" si="11"/>
        <v>187.03663926000004</v>
      </c>
      <c r="Y33" s="10">
        <f t="shared" si="11"/>
        <v>153.65594515000004</v>
      </c>
      <c r="Z33" s="10">
        <f t="shared" si="11"/>
        <v>141.67942827000007</v>
      </c>
      <c r="AA33" s="10">
        <f t="shared" si="11"/>
        <v>148.98190353000004</v>
      </c>
      <c r="AB33" s="10">
        <f t="shared" si="11"/>
        <v>204.06570379000007</v>
      </c>
      <c r="AC33" s="10">
        <f t="shared" si="11"/>
        <v>148.93140799</v>
      </c>
      <c r="AD33" s="10">
        <f t="shared" si="11"/>
        <v>151.54209396000005</v>
      </c>
    </row>
    <row r="36" spans="1:30" ht="23.25" x14ac:dyDescent="0.35">
      <c r="B36" s="13" t="s">
        <v>124</v>
      </c>
      <c r="C36" s="14"/>
      <c r="D36" s="14"/>
      <c r="E36" s="14"/>
    </row>
    <row r="38" spans="1:30" x14ac:dyDescent="0.3">
      <c r="A38" s="1">
        <v>1</v>
      </c>
      <c r="B38" s="3" t="s">
        <v>90</v>
      </c>
      <c r="C38" s="84" t="s">
        <v>110</v>
      </c>
      <c r="D38" s="84" t="s">
        <v>118</v>
      </c>
      <c r="E38" s="84"/>
    </row>
    <row r="39" spans="1:30" x14ac:dyDescent="0.3">
      <c r="A39" s="1">
        <v>2</v>
      </c>
      <c r="B39" s="3" t="s">
        <v>0</v>
      </c>
      <c r="C39" s="84"/>
      <c r="D39" s="84"/>
      <c r="E39" s="84"/>
    </row>
    <row r="40" spans="1:30" ht="6.75" customHeight="1" x14ac:dyDescent="0.3">
      <c r="A40" s="1">
        <v>3</v>
      </c>
    </row>
    <row r="41" spans="1:30" x14ac:dyDescent="0.3">
      <c r="A41" s="1">
        <v>4</v>
      </c>
      <c r="B41" s="2" t="s">
        <v>90</v>
      </c>
      <c r="C41" s="10">
        <f>SUM(C42:C43)</f>
        <v>19.375803140000002</v>
      </c>
      <c r="D41" s="10">
        <f>SUM(D42:D43)</f>
        <v>21.10236664</v>
      </c>
      <c r="E41" s="41">
        <f t="shared" ref="E41:E56" si="12">D41/C41-1</f>
        <v>8.9109261047126687E-2</v>
      </c>
    </row>
    <row r="42" spans="1:30" x14ac:dyDescent="0.3">
      <c r="A42" s="1">
        <v>8</v>
      </c>
      <c r="B42" s="5" t="s">
        <v>6</v>
      </c>
      <c r="C42" s="8">
        <v>19.336585890000002</v>
      </c>
      <c r="D42" s="8">
        <v>21.079730569999999</v>
      </c>
      <c r="E42" s="39">
        <f t="shared" si="12"/>
        <v>9.0147489836945427E-2</v>
      </c>
    </row>
    <row r="43" spans="1:30" x14ac:dyDescent="0.3">
      <c r="A43" s="1">
        <v>9</v>
      </c>
      <c r="B43" s="5" t="s">
        <v>4</v>
      </c>
      <c r="C43" s="8">
        <v>3.9217250000000009E-2</v>
      </c>
      <c r="D43" s="8">
        <v>2.2636070000000001E-2</v>
      </c>
      <c r="E43" s="39">
        <f t="shared" si="12"/>
        <v>-0.42280323072117509</v>
      </c>
    </row>
    <row r="44" spans="1:30" ht="5.25" customHeight="1" x14ac:dyDescent="0.3">
      <c r="A44" s="1">
        <v>10</v>
      </c>
      <c r="C44" s="35"/>
      <c r="D44" s="35"/>
      <c r="E44" s="44"/>
    </row>
    <row r="45" spans="1:30" x14ac:dyDescent="0.3">
      <c r="A45" s="1">
        <v>11</v>
      </c>
      <c r="B45" s="2" t="s">
        <v>91</v>
      </c>
      <c r="C45" s="10">
        <f>SUM(C46:C47)</f>
        <v>-2.4282583600000001</v>
      </c>
      <c r="D45" s="10">
        <f>SUM(D46:D47)</f>
        <v>-2.5330657699999999</v>
      </c>
      <c r="E45" s="41">
        <f t="shared" si="12"/>
        <v>4.3161556334557316E-2</v>
      </c>
    </row>
    <row r="46" spans="1:30" x14ac:dyDescent="0.3">
      <c r="A46" s="1">
        <v>12</v>
      </c>
      <c r="B46" s="5" t="s">
        <v>6</v>
      </c>
      <c r="C46" s="48">
        <v>-0.86614393999999995</v>
      </c>
      <c r="D46" s="48">
        <v>-1.1556267199999999</v>
      </c>
      <c r="E46" s="39">
        <f t="shared" si="12"/>
        <v>0.33422017592133701</v>
      </c>
    </row>
    <row r="47" spans="1:30" x14ac:dyDescent="0.3">
      <c r="A47" s="1">
        <v>17</v>
      </c>
      <c r="B47" s="5" t="s">
        <v>93</v>
      </c>
      <c r="C47" s="48">
        <v>-1.5621144199999999</v>
      </c>
      <c r="D47" s="48">
        <v>-1.37743905</v>
      </c>
      <c r="E47" s="39">
        <f t="shared" si="12"/>
        <v>-0.11822141043931977</v>
      </c>
    </row>
    <row r="48" spans="1:30" ht="5.25" customHeight="1" x14ac:dyDescent="0.3">
      <c r="A48" s="1">
        <v>18</v>
      </c>
      <c r="C48" s="35"/>
      <c r="D48" s="35"/>
      <c r="E48" s="44"/>
    </row>
    <row r="49" spans="1:30" x14ac:dyDescent="0.3">
      <c r="A49" s="1">
        <v>19</v>
      </c>
      <c r="B49" s="2" t="s">
        <v>92</v>
      </c>
      <c r="C49" s="10">
        <f>C45+C41</f>
        <v>16.947544780000001</v>
      </c>
      <c r="D49" s="10">
        <f>D45+D41</f>
        <v>18.569300869999999</v>
      </c>
      <c r="E49" s="41">
        <f t="shared" si="12"/>
        <v>9.5692686524944337E-2</v>
      </c>
    </row>
    <row r="50" spans="1:30" ht="5.25" customHeight="1" x14ac:dyDescent="0.3">
      <c r="A50" s="1">
        <v>20</v>
      </c>
      <c r="C50" s="35"/>
      <c r="D50" s="35"/>
      <c r="E50" s="44"/>
    </row>
    <row r="51" spans="1:30" x14ac:dyDescent="0.3">
      <c r="A51" s="1">
        <v>22</v>
      </c>
      <c r="B51" s="5" t="s">
        <v>94</v>
      </c>
      <c r="C51" s="48">
        <v>-0.10434568999999999</v>
      </c>
      <c r="D51" s="48">
        <v>-0.19658157000000004</v>
      </c>
      <c r="E51" s="39">
        <f t="shared" si="12"/>
        <v>0.8839452784298043</v>
      </c>
    </row>
    <row r="52" spans="1:30" x14ac:dyDescent="0.3">
      <c r="A52" s="1">
        <v>23</v>
      </c>
      <c r="B52" s="5" t="s">
        <v>15</v>
      </c>
      <c r="C52" s="48">
        <v>-3.4776071799999997</v>
      </c>
      <c r="D52" s="48">
        <v>-3.6164291100000008</v>
      </c>
      <c r="E52" s="39">
        <f t="shared" si="12"/>
        <v>3.9918807045941529E-2</v>
      </c>
    </row>
    <row r="53" spans="1:30" ht="5.25" customHeight="1" x14ac:dyDescent="0.3">
      <c r="A53" s="1">
        <v>24</v>
      </c>
      <c r="C53" s="35"/>
      <c r="D53" s="35"/>
      <c r="E53" s="44"/>
    </row>
    <row r="54" spans="1:30" x14ac:dyDescent="0.3">
      <c r="A54" s="1">
        <v>25</v>
      </c>
      <c r="B54" s="2" t="s">
        <v>95</v>
      </c>
      <c r="C54" s="10">
        <f>C49+C51+C52</f>
        <v>13.365591910000003</v>
      </c>
      <c r="D54" s="10">
        <f>D49++D51+D52</f>
        <v>14.75629019</v>
      </c>
      <c r="E54" s="41">
        <f t="shared" si="12"/>
        <v>0.10405063160423822</v>
      </c>
    </row>
    <row r="55" spans="1:30" ht="5.25" customHeight="1" x14ac:dyDescent="0.3">
      <c r="A55" s="1">
        <v>26</v>
      </c>
      <c r="B55" s="45"/>
      <c r="C55" s="46"/>
      <c r="D55" s="46"/>
      <c r="E55" s="47"/>
    </row>
    <row r="56" spans="1:30" x14ac:dyDescent="0.3">
      <c r="A56" s="1">
        <v>27</v>
      </c>
      <c r="B56" s="2" t="s">
        <v>17</v>
      </c>
      <c r="C56" s="10">
        <f t="shared" ref="C56:D56" si="13">C54-C52</f>
        <v>16.843199090000002</v>
      </c>
      <c r="D56" s="10">
        <f t="shared" si="13"/>
        <v>18.3727193</v>
      </c>
      <c r="E56" s="41">
        <f t="shared" si="12"/>
        <v>9.0809364766583522E-2</v>
      </c>
    </row>
    <row r="57" spans="1:30" ht="28.5" customHeight="1" x14ac:dyDescent="0.3"/>
    <row r="58" spans="1:30" ht="28.5" customHeight="1" x14ac:dyDescent="0.3"/>
    <row r="59" spans="1:30" ht="23.25" x14ac:dyDescent="0.35">
      <c r="B59" s="13" t="s">
        <v>36</v>
      </c>
      <c r="C59" s="14"/>
      <c r="D59" s="14"/>
      <c r="E59" s="14"/>
      <c r="H59" s="13" t="s">
        <v>36</v>
      </c>
      <c r="I59" s="14"/>
      <c r="J59" s="14"/>
      <c r="K59" s="14"/>
      <c r="L59" s="14"/>
      <c r="M59" s="14"/>
      <c r="N59" s="14"/>
      <c r="O59" s="14"/>
      <c r="P59" s="14"/>
      <c r="Q59" s="14"/>
      <c r="R59" s="14"/>
      <c r="S59" s="14"/>
      <c r="T59" s="14"/>
      <c r="U59" s="14"/>
      <c r="V59" s="14"/>
      <c r="W59" s="14"/>
      <c r="X59" s="14"/>
      <c r="Y59" s="14"/>
      <c r="Z59" s="14"/>
      <c r="AA59" s="14"/>
      <c r="AB59" s="14"/>
      <c r="AC59" s="14"/>
      <c r="AD59" s="14"/>
    </row>
    <row r="60" spans="1:30" ht="9" customHeight="1" x14ac:dyDescent="0.3"/>
    <row r="61" spans="1:30" x14ac:dyDescent="0.3">
      <c r="A61" s="1">
        <v>1</v>
      </c>
      <c r="B61" s="3" t="s">
        <v>90</v>
      </c>
      <c r="C61" s="84" t="s">
        <v>110</v>
      </c>
      <c r="D61" s="84" t="s">
        <v>119</v>
      </c>
      <c r="E61" s="84" t="s">
        <v>34</v>
      </c>
      <c r="H61" s="3" t="s">
        <v>35</v>
      </c>
      <c r="I61" s="84" t="s">
        <v>55</v>
      </c>
      <c r="J61" s="84" t="s">
        <v>56</v>
      </c>
      <c r="K61" s="84" t="s">
        <v>57</v>
      </c>
      <c r="L61" s="84" t="s">
        <v>58</v>
      </c>
      <c r="M61" s="84" t="s">
        <v>59</v>
      </c>
      <c r="N61" s="84" t="s">
        <v>60</v>
      </c>
      <c r="O61" s="84" t="s">
        <v>61</v>
      </c>
      <c r="P61" s="84" t="s">
        <v>62</v>
      </c>
      <c r="Q61" s="84" t="s">
        <v>54</v>
      </c>
      <c r="R61" s="84" t="s">
        <v>53</v>
      </c>
      <c r="S61" s="84" t="s">
        <v>52</v>
      </c>
      <c r="T61" s="84" t="s">
        <v>51</v>
      </c>
      <c r="U61" s="84" t="s">
        <v>50</v>
      </c>
      <c r="V61" s="84" t="s">
        <v>49</v>
      </c>
      <c r="W61" s="84" t="s">
        <v>48</v>
      </c>
      <c r="X61" s="84" t="s">
        <v>99</v>
      </c>
      <c r="Y61" s="84" t="s">
        <v>102</v>
      </c>
      <c r="Z61" s="84" t="s">
        <v>110</v>
      </c>
      <c r="AA61" s="84" t="s">
        <v>111</v>
      </c>
      <c r="AB61" s="84" t="s">
        <v>112</v>
      </c>
      <c r="AC61" s="84" t="s">
        <v>114</v>
      </c>
      <c r="AD61" s="84" t="s">
        <v>119</v>
      </c>
    </row>
    <row r="62" spans="1:30" x14ac:dyDescent="0.3">
      <c r="A62" s="1">
        <v>2</v>
      </c>
      <c r="B62" s="3" t="s">
        <v>0</v>
      </c>
      <c r="C62" s="84"/>
      <c r="D62" s="84"/>
      <c r="E62" s="84"/>
      <c r="H62" s="3" t="s">
        <v>0</v>
      </c>
      <c r="I62" s="84"/>
      <c r="J62" s="84"/>
      <c r="K62" s="84"/>
      <c r="L62" s="84"/>
      <c r="M62" s="84"/>
      <c r="N62" s="84"/>
      <c r="O62" s="84"/>
      <c r="P62" s="84"/>
      <c r="Q62" s="84"/>
      <c r="R62" s="84"/>
      <c r="S62" s="84"/>
      <c r="T62" s="84"/>
      <c r="U62" s="84"/>
      <c r="V62" s="84"/>
      <c r="W62" s="84"/>
      <c r="X62" s="84"/>
      <c r="Y62" s="84"/>
      <c r="Z62" s="84"/>
      <c r="AA62" s="84"/>
      <c r="AB62" s="84"/>
      <c r="AC62" s="84" t="s">
        <v>114</v>
      </c>
      <c r="AD62" s="84" t="s">
        <v>114</v>
      </c>
    </row>
    <row r="63" spans="1:30" ht="6.75" customHeight="1" x14ac:dyDescent="0.3">
      <c r="A63" s="1">
        <v>3</v>
      </c>
    </row>
    <row r="64" spans="1:30" x14ac:dyDescent="0.3">
      <c r="A64" s="1">
        <v>4</v>
      </c>
      <c r="B64" s="2" t="s">
        <v>90</v>
      </c>
      <c r="C64" s="10">
        <f>+HLOOKUP($C$61,$H$61:$AH$86,A64,FALSE)</f>
        <v>52.289317230000002</v>
      </c>
      <c r="D64" s="10">
        <f>+HLOOKUP($D$61,$H$61:$AH$86,A64,FALSE)</f>
        <v>41.306034390000001</v>
      </c>
      <c r="E64" s="41">
        <f>D64/C64-1</f>
        <v>-0.21004831238642663</v>
      </c>
      <c r="H64" s="2" t="s">
        <v>90</v>
      </c>
      <c r="I64" s="34"/>
      <c r="J64" s="34"/>
      <c r="K64" s="34"/>
      <c r="L64" s="34"/>
      <c r="M64" s="34"/>
      <c r="N64" s="34"/>
      <c r="O64" s="34"/>
      <c r="P64" s="34"/>
      <c r="Q64" s="10">
        <f t="shared" ref="Q64:X64" si="14">SUM(Q65:Q69)</f>
        <v>55.583655499999999</v>
      </c>
      <c r="R64" s="10">
        <f t="shared" si="14"/>
        <v>54.9629184</v>
      </c>
      <c r="S64" s="10">
        <f t="shared" si="14"/>
        <v>49.082694860000004</v>
      </c>
      <c r="T64" s="10">
        <f t="shared" si="14"/>
        <v>57.097280980000001</v>
      </c>
      <c r="U64" s="10">
        <f t="shared" si="14"/>
        <v>47.636293819999999</v>
      </c>
      <c r="V64" s="10">
        <f t="shared" si="14"/>
        <v>46.971507459999998</v>
      </c>
      <c r="W64" s="10">
        <f t="shared" si="14"/>
        <v>51.493997259999993</v>
      </c>
      <c r="X64" s="10">
        <f t="shared" si="14"/>
        <v>46.735641690000008</v>
      </c>
      <c r="Y64" s="10">
        <f t="shared" ref="Y64:AD64" si="15">SUM(Y65:Y69)</f>
        <v>52.673049919999997</v>
      </c>
      <c r="Z64" s="10">
        <f t="shared" si="15"/>
        <v>52.289317230000002</v>
      </c>
      <c r="AA64" s="10">
        <f t="shared" si="15"/>
        <v>48.926424319999995</v>
      </c>
      <c r="AB64" s="10">
        <f t="shared" si="15"/>
        <v>47.590648379999998</v>
      </c>
      <c r="AC64" s="10">
        <f t="shared" si="15"/>
        <v>52.604996560000004</v>
      </c>
      <c r="AD64" s="10">
        <f t="shared" si="15"/>
        <v>41.306034390000001</v>
      </c>
    </row>
    <row r="65" spans="1:30" x14ac:dyDescent="0.3">
      <c r="A65" s="1">
        <v>5</v>
      </c>
      <c r="B65" s="5" t="s">
        <v>31</v>
      </c>
      <c r="C65" s="8">
        <f t="shared" ref="C65:C86" si="16">+HLOOKUP($C$61,$H$61:$AH$86,A65,FALSE)</f>
        <v>27.544648819999999</v>
      </c>
      <c r="D65" s="8">
        <f t="shared" ref="D65:D86" si="17">+HLOOKUP($D$61,$H$61:$AH$86,A65,FALSE)</f>
        <v>27.797825039999999</v>
      </c>
      <c r="E65" s="39">
        <f>D65/C65-1</f>
        <v>9.1914847654972487E-3</v>
      </c>
      <c r="H65" s="5" t="s">
        <v>31</v>
      </c>
      <c r="I65" s="8"/>
      <c r="J65" s="8"/>
      <c r="K65" s="8"/>
      <c r="L65" s="8"/>
      <c r="M65" s="8"/>
      <c r="N65" s="8"/>
      <c r="O65" s="8"/>
      <c r="P65" s="8"/>
      <c r="Q65" s="8">
        <v>32.460313200000002</v>
      </c>
      <c r="R65" s="8">
        <v>29.138366089999998</v>
      </c>
      <c r="S65" s="8">
        <v>28.332158719999999</v>
      </c>
      <c r="T65" s="8">
        <v>29.400125059999997</v>
      </c>
      <c r="U65" s="8">
        <v>30.41764161</v>
      </c>
      <c r="V65" s="8">
        <v>29.193580749999999</v>
      </c>
      <c r="W65" s="8">
        <v>31.344619299999998</v>
      </c>
      <c r="X65" s="8">
        <v>31.739627410000004</v>
      </c>
      <c r="Y65" s="8">
        <v>28.93242343</v>
      </c>
      <c r="Z65" s="8">
        <v>27.544648819999999</v>
      </c>
      <c r="AA65" s="8">
        <v>26.837658909999995</v>
      </c>
      <c r="AB65" s="8">
        <v>23.979617300000001</v>
      </c>
      <c r="AC65" s="8">
        <v>27.59225554</v>
      </c>
      <c r="AD65" s="8">
        <v>27.797825039999999</v>
      </c>
    </row>
    <row r="66" spans="1:30" x14ac:dyDescent="0.3">
      <c r="A66" s="1">
        <v>6</v>
      </c>
      <c r="B66" s="5" t="s">
        <v>32</v>
      </c>
      <c r="C66" s="8">
        <f t="shared" si="16"/>
        <v>9.3299704900000009</v>
      </c>
      <c r="D66" s="8">
        <f t="shared" si="17"/>
        <v>7.6966708700000002</v>
      </c>
      <c r="E66" s="54">
        <f t="shared" ref="E66" si="18">D66/C66-1</f>
        <v>-0.17505946259429173</v>
      </c>
      <c r="H66" s="5" t="s">
        <v>32</v>
      </c>
      <c r="I66" s="8"/>
      <c r="J66" s="8"/>
      <c r="K66" s="8"/>
      <c r="L66" s="8"/>
      <c r="M66" s="8"/>
      <c r="N66" s="8"/>
      <c r="O66" s="8"/>
      <c r="P66" s="8"/>
      <c r="Q66" s="8">
        <v>5.6</v>
      </c>
      <c r="R66" s="8">
        <v>6.6</v>
      </c>
      <c r="S66" s="8">
        <v>6.1689418100000006</v>
      </c>
      <c r="T66" s="8">
        <v>0.29570797999999998</v>
      </c>
      <c r="U66" s="8">
        <v>3.9916751399999995</v>
      </c>
      <c r="V66" s="8">
        <v>3.8195686800000002</v>
      </c>
      <c r="W66" s="8">
        <v>3.3034332700000002</v>
      </c>
      <c r="X66" s="8">
        <v>1.5023979999999982E-2</v>
      </c>
      <c r="Y66" s="8">
        <v>7.9133462900000007</v>
      </c>
      <c r="Z66" s="8">
        <v>9.3299704900000009</v>
      </c>
      <c r="AA66" s="8">
        <v>5.3961819800000006</v>
      </c>
      <c r="AB66" s="8">
        <v>6.9740460799999999</v>
      </c>
      <c r="AC66" s="8">
        <v>8.3434991900000011</v>
      </c>
      <c r="AD66" s="8">
        <v>7.6966708700000002</v>
      </c>
    </row>
    <row r="67" spans="1:30" x14ac:dyDescent="0.3">
      <c r="A67" s="1">
        <v>7</v>
      </c>
      <c r="B67" s="5" t="s">
        <v>33</v>
      </c>
      <c r="C67" s="8">
        <f t="shared" si="16"/>
        <v>3.3943515400000002</v>
      </c>
      <c r="D67" s="8">
        <f t="shared" si="17"/>
        <v>4.7913998300000005</v>
      </c>
      <c r="E67" s="39">
        <f t="shared" ref="E67:E69" si="19">D67/C67-1</f>
        <v>0.41158031910860959</v>
      </c>
      <c r="H67" s="5" t="s">
        <v>37</v>
      </c>
      <c r="I67" s="8"/>
      <c r="J67" s="8"/>
      <c r="K67" s="8"/>
      <c r="L67" s="8"/>
      <c r="M67" s="8"/>
      <c r="N67" s="8"/>
      <c r="O67" s="8"/>
      <c r="P67" s="8"/>
      <c r="Q67" s="8">
        <v>8.5953532900000003</v>
      </c>
      <c r="R67" s="8">
        <v>6.4017951300000009</v>
      </c>
      <c r="S67" s="8">
        <v>5.7872665799999998</v>
      </c>
      <c r="T67" s="8">
        <v>16.955132990000003</v>
      </c>
      <c r="U67" s="8">
        <v>1.47052644</v>
      </c>
      <c r="V67" s="8">
        <v>3.6616426599999996</v>
      </c>
      <c r="W67" s="8">
        <v>5.7423679999999999</v>
      </c>
      <c r="X67" s="8">
        <v>2.3145004</v>
      </c>
      <c r="Y67" s="8">
        <v>1.47969777</v>
      </c>
      <c r="Z67" s="8">
        <v>3.3943515400000002</v>
      </c>
      <c r="AA67" s="8">
        <v>6.4587246999999994</v>
      </c>
      <c r="AB67" s="8">
        <v>6.2914542299999994</v>
      </c>
      <c r="AC67" s="8">
        <v>4.83443925</v>
      </c>
      <c r="AD67" s="8">
        <v>4.7913998300000005</v>
      </c>
    </row>
    <row r="68" spans="1:30" x14ac:dyDescent="0.3">
      <c r="A68" s="1">
        <v>8</v>
      </c>
      <c r="B68" s="5" t="s">
        <v>6</v>
      </c>
      <c r="C68" s="8">
        <f t="shared" si="16"/>
        <v>10.965700719999999</v>
      </c>
      <c r="D68" s="8">
        <f t="shared" si="17"/>
        <v>0</v>
      </c>
      <c r="E68" s="39">
        <f t="shared" si="19"/>
        <v>-1</v>
      </c>
      <c r="H68" s="5" t="s">
        <v>6</v>
      </c>
      <c r="I68" s="8"/>
      <c r="J68" s="8"/>
      <c r="K68" s="8"/>
      <c r="L68" s="8"/>
      <c r="M68" s="8"/>
      <c r="N68" s="8"/>
      <c r="O68" s="8"/>
      <c r="P68" s="8"/>
      <c r="Q68" s="8">
        <v>8.9279890099999992</v>
      </c>
      <c r="R68" s="8">
        <v>12.502251830000001</v>
      </c>
      <c r="S68" s="8">
        <v>8.4584802499999991</v>
      </c>
      <c r="T68" s="8">
        <v>10.021971669999997</v>
      </c>
      <c r="U68" s="8">
        <v>10.59247901</v>
      </c>
      <c r="V68" s="8">
        <v>8.9588192499999995</v>
      </c>
      <c r="W68" s="8">
        <v>10.080884190000001</v>
      </c>
      <c r="X68" s="8">
        <v>11.61420582</v>
      </c>
      <c r="Y68" s="8">
        <v>12.948201429999999</v>
      </c>
      <c r="Z68" s="8">
        <v>10.965700719999999</v>
      </c>
      <c r="AA68" s="8">
        <v>8.8412368299999997</v>
      </c>
      <c r="AB68" s="8">
        <v>9.2050202700000003</v>
      </c>
      <c r="AC68" s="8">
        <v>9.1042322899999988</v>
      </c>
      <c r="AD68" s="8"/>
    </row>
    <row r="69" spans="1:30" x14ac:dyDescent="0.3">
      <c r="A69" s="1">
        <v>9</v>
      </c>
      <c r="B69" s="5" t="s">
        <v>4</v>
      </c>
      <c r="C69" s="8">
        <f t="shared" si="16"/>
        <v>1.0546456599999998</v>
      </c>
      <c r="D69" s="8">
        <f t="shared" si="17"/>
        <v>1.02013865</v>
      </c>
      <c r="E69" s="39">
        <f t="shared" si="19"/>
        <v>-3.2719055611530989E-2</v>
      </c>
      <c r="H69" s="5" t="s">
        <v>4</v>
      </c>
      <c r="I69" s="8"/>
      <c r="J69" s="8"/>
      <c r="K69" s="8"/>
      <c r="L69" s="8"/>
      <c r="M69" s="8"/>
      <c r="N69" s="8"/>
      <c r="O69" s="8"/>
      <c r="P69" s="8"/>
      <c r="Q69" s="8">
        <v>0</v>
      </c>
      <c r="R69" s="8">
        <v>0.32050534999999997</v>
      </c>
      <c r="S69" s="8">
        <v>0.33584750000000002</v>
      </c>
      <c r="T69" s="8">
        <v>0.42434328000000004</v>
      </c>
      <c r="U69" s="8">
        <v>1.1639716200000001</v>
      </c>
      <c r="V69" s="8">
        <v>1.3378961200000001</v>
      </c>
      <c r="W69" s="8">
        <v>1.0226925</v>
      </c>
      <c r="X69" s="8">
        <v>1.0522840800000002</v>
      </c>
      <c r="Y69" s="8">
        <v>1.399381</v>
      </c>
      <c r="Z69" s="8">
        <v>1.0546456599999998</v>
      </c>
      <c r="AA69" s="8">
        <v>1.3926219000000002</v>
      </c>
      <c r="AB69" s="8">
        <v>1.1405105</v>
      </c>
      <c r="AC69" s="8">
        <v>2.7305702900000002</v>
      </c>
      <c r="AD69" s="8">
        <v>1.02013865</v>
      </c>
    </row>
    <row r="70" spans="1:30" ht="4.5" customHeight="1" x14ac:dyDescent="0.3">
      <c r="A70" s="1">
        <v>10</v>
      </c>
      <c r="C70" s="1">
        <f t="shared" si="16"/>
        <v>0</v>
      </c>
      <c r="D70" s="1">
        <f t="shared" si="17"/>
        <v>0</v>
      </c>
    </row>
    <row r="71" spans="1:30" x14ac:dyDescent="0.3">
      <c r="A71" s="1">
        <v>11</v>
      </c>
      <c r="B71" s="2" t="s">
        <v>91</v>
      </c>
      <c r="C71" s="10">
        <f t="shared" si="16"/>
        <v>-37.811925799999997</v>
      </c>
      <c r="D71" s="10">
        <f t="shared" si="17"/>
        <v>-16.822129440000001</v>
      </c>
      <c r="E71" s="41">
        <f>D71/C71-1</f>
        <v>-0.55511048210086134</v>
      </c>
      <c r="H71" s="2" t="s">
        <v>91</v>
      </c>
      <c r="I71" s="34"/>
      <c r="J71" s="34"/>
      <c r="K71" s="34"/>
      <c r="L71" s="34"/>
      <c r="M71" s="34"/>
      <c r="N71" s="34"/>
      <c r="O71" s="34"/>
      <c r="P71" s="34"/>
      <c r="Q71" s="10">
        <f t="shared" ref="Q71:X71" si="20">SUM(Q72:Q76)</f>
        <v>-32.306038980000004</v>
      </c>
      <c r="R71" s="10">
        <f t="shared" si="20"/>
        <v>-41.795531619999998</v>
      </c>
      <c r="S71" s="10">
        <f t="shared" si="20"/>
        <v>-30.759452379999999</v>
      </c>
      <c r="T71" s="10">
        <f t="shared" si="20"/>
        <v>-39.480105159999994</v>
      </c>
      <c r="U71" s="10">
        <f t="shared" si="20"/>
        <v>-34.353933659999996</v>
      </c>
      <c r="V71" s="10">
        <f t="shared" si="20"/>
        <v>-33.9733351</v>
      </c>
      <c r="W71" s="10">
        <f t="shared" si="20"/>
        <v>-35.661452799999999</v>
      </c>
      <c r="X71" s="10">
        <f t="shared" si="20"/>
        <v>-37.405603590000005</v>
      </c>
      <c r="Y71" s="10">
        <f t="shared" ref="Y71:AD71" si="21">SUM(Y72:Y76)</f>
        <v>-40.773118190000005</v>
      </c>
      <c r="Z71" s="10">
        <f t="shared" si="21"/>
        <v>-37.811925799999997</v>
      </c>
      <c r="AA71" s="10">
        <f t="shared" si="21"/>
        <v>-39.050791429999997</v>
      </c>
      <c r="AB71" s="10">
        <f t="shared" si="21"/>
        <v>-38.57344148</v>
      </c>
      <c r="AC71" s="10">
        <f t="shared" si="21"/>
        <v>-37.890375319999997</v>
      </c>
      <c r="AD71" s="10">
        <f t="shared" si="21"/>
        <v>-16.822129440000001</v>
      </c>
    </row>
    <row r="72" spans="1:30" x14ac:dyDescent="0.3">
      <c r="A72" s="1">
        <v>12</v>
      </c>
      <c r="B72" s="5" t="s">
        <v>6</v>
      </c>
      <c r="C72" s="48">
        <f t="shared" si="16"/>
        <v>-10.957769000000001</v>
      </c>
      <c r="D72" s="48">
        <f t="shared" si="17"/>
        <v>-0.73033623999999997</v>
      </c>
      <c r="E72" s="39">
        <f>D72/C72-1</f>
        <v>-0.93334991456746352</v>
      </c>
      <c r="H72" s="5" t="s">
        <v>6</v>
      </c>
      <c r="I72" s="8"/>
      <c r="J72" s="8"/>
      <c r="K72" s="8"/>
      <c r="L72" s="8"/>
      <c r="M72" s="8"/>
      <c r="N72" s="8"/>
      <c r="O72" s="8"/>
      <c r="P72" s="8"/>
      <c r="Q72" s="48">
        <v>-8.6869376099999993</v>
      </c>
      <c r="R72" s="48">
        <v>-10.98468411</v>
      </c>
      <c r="S72" s="48">
        <v>-7.5221053799999993</v>
      </c>
      <c r="T72" s="48">
        <v>-8.4976941799999999</v>
      </c>
      <c r="U72" s="48">
        <v>-8.7930702800000002</v>
      </c>
      <c r="V72" s="48">
        <v>-8.4213767199999996</v>
      </c>
      <c r="W72" s="48">
        <v>-9.6291035800000007</v>
      </c>
      <c r="X72" s="48">
        <v>-10.23718113</v>
      </c>
      <c r="Y72" s="48">
        <v>-10.758186589999999</v>
      </c>
      <c r="Z72" s="48">
        <v>-10.957769000000001</v>
      </c>
      <c r="AA72" s="48">
        <v>-9.5028146000000007</v>
      </c>
      <c r="AB72" s="48">
        <v>-9.7911532399999999</v>
      </c>
      <c r="AC72" s="48">
        <v>-11.139500050000001</v>
      </c>
      <c r="AD72" s="48">
        <v>-0.73033623999999997</v>
      </c>
    </row>
    <row r="73" spans="1:30" x14ac:dyDescent="0.3">
      <c r="A73" s="1">
        <v>13</v>
      </c>
      <c r="B73" s="5" t="s">
        <v>7</v>
      </c>
      <c r="C73" s="48">
        <f t="shared" si="16"/>
        <v>-1.296899E-2</v>
      </c>
      <c r="D73" s="48">
        <f t="shared" si="17"/>
        <v>-0.36717951000000004</v>
      </c>
      <c r="E73" s="39">
        <f t="shared" ref="E73:E76" si="22">D73/C73-1</f>
        <v>27.312112971017793</v>
      </c>
      <c r="H73" s="5" t="s">
        <v>7</v>
      </c>
      <c r="I73" s="8"/>
      <c r="J73" s="8"/>
      <c r="K73" s="8"/>
      <c r="L73" s="8"/>
      <c r="M73" s="8"/>
      <c r="N73" s="8"/>
      <c r="O73" s="8"/>
      <c r="P73" s="8"/>
      <c r="Q73" s="48">
        <v>-2.4822059000000003</v>
      </c>
      <c r="R73" s="48">
        <v>-8.7254282500000002</v>
      </c>
      <c r="S73" s="48">
        <v>-3.1551651900000004</v>
      </c>
      <c r="T73" s="48">
        <v>-1.36595606</v>
      </c>
      <c r="U73" s="48">
        <v>-2.8579380299999997</v>
      </c>
      <c r="V73" s="48">
        <v>-1.42054E-2</v>
      </c>
      <c r="W73" s="48">
        <v>-0.14726351999999998</v>
      </c>
      <c r="X73" s="48">
        <v>-1.8561880000000003E-2</v>
      </c>
      <c r="Y73" s="48">
        <v>-6.3891180600000004</v>
      </c>
      <c r="Z73" s="48">
        <v>-1.296899E-2</v>
      </c>
      <c r="AA73" s="48">
        <v>-0.13729293999999997</v>
      </c>
      <c r="AB73" s="48">
        <v>-3.7507E-3</v>
      </c>
      <c r="AC73" s="48">
        <v>-0.27191003000000002</v>
      </c>
      <c r="AD73" s="48">
        <v>-0.36717951000000004</v>
      </c>
    </row>
    <row r="74" spans="1:30" x14ac:dyDescent="0.3">
      <c r="A74" s="1">
        <v>14</v>
      </c>
      <c r="B74" s="5" t="s">
        <v>8</v>
      </c>
      <c r="C74" s="48">
        <f t="shared" si="16"/>
        <v>-23.6114715</v>
      </c>
      <c r="D74" s="48">
        <f t="shared" si="17"/>
        <v>-12.422301690000001</v>
      </c>
      <c r="E74" s="39">
        <f t="shared" si="22"/>
        <v>-0.47388701758803975</v>
      </c>
      <c r="H74" s="5" t="s">
        <v>8</v>
      </c>
      <c r="I74" s="8"/>
      <c r="J74" s="8"/>
      <c r="K74" s="8"/>
      <c r="L74" s="8"/>
      <c r="M74" s="8"/>
      <c r="N74" s="8"/>
      <c r="O74" s="8"/>
      <c r="P74" s="8"/>
      <c r="Q74" s="48">
        <v>-16.863124360000004</v>
      </c>
      <c r="R74" s="48">
        <v>-19.939320459999998</v>
      </c>
      <c r="S74" s="48">
        <v>-17.725214960000002</v>
      </c>
      <c r="T74" s="48">
        <v>-28.326226259999999</v>
      </c>
      <c r="U74" s="48">
        <v>-20.05521062</v>
      </c>
      <c r="V74" s="48">
        <v>-23.011494200000001</v>
      </c>
      <c r="W74" s="48">
        <v>-24.285353650000001</v>
      </c>
      <c r="X74" s="48">
        <v>-24.371911540000003</v>
      </c>
      <c r="Y74" s="48">
        <v>-18.965294759999999</v>
      </c>
      <c r="Z74" s="48">
        <v>-23.6114715</v>
      </c>
      <c r="AA74" s="48">
        <v>-24.548299199999999</v>
      </c>
      <c r="AB74" s="48">
        <v>-25.285733</v>
      </c>
      <c r="AC74" s="48">
        <v>-23.366341999999996</v>
      </c>
      <c r="AD74" s="48">
        <v>-12.422301690000001</v>
      </c>
    </row>
    <row r="75" spans="1:30" x14ac:dyDescent="0.3">
      <c r="A75" s="1">
        <v>15</v>
      </c>
      <c r="B75" s="5" t="s">
        <v>9</v>
      </c>
      <c r="C75" s="48">
        <f t="shared" si="16"/>
        <v>0</v>
      </c>
      <c r="D75" s="48">
        <f t="shared" si="17"/>
        <v>0</v>
      </c>
      <c r="E75" s="54" t="s">
        <v>69</v>
      </c>
      <c r="H75" s="5" t="s">
        <v>9</v>
      </c>
      <c r="I75" s="8"/>
      <c r="J75" s="8"/>
      <c r="K75" s="8"/>
      <c r="L75" s="8"/>
      <c r="M75" s="8"/>
      <c r="N75" s="8"/>
      <c r="O75" s="8"/>
      <c r="P75" s="8"/>
      <c r="Q75" s="48"/>
      <c r="R75" s="48"/>
      <c r="S75" s="48"/>
      <c r="T75" s="48"/>
      <c r="U75" s="48"/>
      <c r="V75" s="48"/>
      <c r="W75" s="48"/>
      <c r="X75" s="48"/>
      <c r="Y75" s="48"/>
      <c r="Z75" s="48"/>
      <c r="AA75" s="48">
        <v>-1.3596464999999998</v>
      </c>
      <c r="AB75" s="48">
        <v>0</v>
      </c>
      <c r="AC75" s="48">
        <v>0</v>
      </c>
      <c r="AD75" s="48">
        <v>0</v>
      </c>
    </row>
    <row r="76" spans="1:30" x14ac:dyDescent="0.3">
      <c r="A76" s="1">
        <v>16</v>
      </c>
      <c r="B76" s="5" t="s">
        <v>93</v>
      </c>
      <c r="C76" s="48">
        <f t="shared" si="16"/>
        <v>-3.2297163100000006</v>
      </c>
      <c r="D76" s="48">
        <f t="shared" si="17"/>
        <v>-3.3023120000000001</v>
      </c>
      <c r="E76" s="39">
        <f t="shared" si="22"/>
        <v>2.2477420005969417E-2</v>
      </c>
      <c r="H76" s="5" t="s">
        <v>93</v>
      </c>
      <c r="I76" s="8"/>
      <c r="J76" s="8"/>
      <c r="K76" s="8"/>
      <c r="L76" s="8"/>
      <c r="M76" s="8"/>
      <c r="N76" s="8"/>
      <c r="O76" s="8"/>
      <c r="P76" s="8"/>
      <c r="Q76" s="48">
        <v>-4.2737711100000002</v>
      </c>
      <c r="R76" s="48">
        <v>-2.1460987999999999</v>
      </c>
      <c r="S76" s="48">
        <v>-2.3569668500000001</v>
      </c>
      <c r="T76" s="48">
        <v>-1.2902286600000001</v>
      </c>
      <c r="U76" s="48">
        <v>-2.6477147300000001</v>
      </c>
      <c r="V76" s="48">
        <v>-2.5262587800000005</v>
      </c>
      <c r="W76" s="48">
        <v>-1.5997320500000001</v>
      </c>
      <c r="X76" s="48">
        <v>-2.7779490399999998</v>
      </c>
      <c r="Y76" s="48">
        <v>-4.6605187800000003</v>
      </c>
      <c r="Z76" s="48">
        <v>-3.2297163100000006</v>
      </c>
      <c r="AA76" s="48">
        <v>-3.5027381900000001</v>
      </c>
      <c r="AB76" s="48">
        <v>-3.4928045399999998</v>
      </c>
      <c r="AC76" s="48">
        <v>-3.11262324</v>
      </c>
      <c r="AD76" s="48">
        <v>-3.3023120000000001</v>
      </c>
    </row>
    <row r="77" spans="1:30" ht="4.5" customHeight="1" x14ac:dyDescent="0.3">
      <c r="A77" s="1">
        <v>17</v>
      </c>
      <c r="C77" s="35">
        <f t="shared" si="16"/>
        <v>0</v>
      </c>
      <c r="D77" s="35">
        <f t="shared" si="17"/>
        <v>0</v>
      </c>
      <c r="E77" s="35"/>
      <c r="I77" s="35"/>
      <c r="J77" s="35"/>
      <c r="K77" s="35"/>
      <c r="L77" s="35"/>
      <c r="M77" s="35"/>
      <c r="N77" s="35"/>
      <c r="O77" s="35"/>
      <c r="P77" s="35"/>
      <c r="Q77" s="35"/>
      <c r="R77" s="35"/>
      <c r="S77" s="35"/>
      <c r="T77" s="35"/>
      <c r="U77" s="35"/>
      <c r="V77" s="35"/>
      <c r="W77" s="35"/>
      <c r="X77" s="35"/>
      <c r="Y77" s="35"/>
      <c r="Z77" s="35"/>
      <c r="AA77" s="35"/>
      <c r="AB77" s="35"/>
      <c r="AC77" s="35"/>
      <c r="AD77" s="35"/>
    </row>
    <row r="78" spans="1:30" x14ac:dyDescent="0.3">
      <c r="A78" s="1">
        <v>18</v>
      </c>
      <c r="B78" s="2" t="s">
        <v>92</v>
      </c>
      <c r="C78" s="10">
        <f t="shared" si="16"/>
        <v>14.477391430000004</v>
      </c>
      <c r="D78" s="10">
        <f t="shared" si="17"/>
        <v>24.483904949999999</v>
      </c>
      <c r="E78" s="41">
        <f>D78/C78-1</f>
        <v>0.69118207989213643</v>
      </c>
      <c r="H78" s="2" t="s">
        <v>92</v>
      </c>
      <c r="I78" s="34"/>
      <c r="J78" s="34"/>
      <c r="K78" s="34"/>
      <c r="L78" s="34"/>
      <c r="M78" s="34"/>
      <c r="N78" s="34"/>
      <c r="O78" s="34"/>
      <c r="P78" s="34"/>
      <c r="Q78" s="10">
        <f t="shared" ref="Q78:X78" si="23">Q71+Q64</f>
        <v>23.277616519999995</v>
      </c>
      <c r="R78" s="10">
        <f t="shared" si="23"/>
        <v>13.167386780000001</v>
      </c>
      <c r="S78" s="10">
        <f t="shared" si="23"/>
        <v>18.323242480000005</v>
      </c>
      <c r="T78" s="10">
        <f t="shared" si="23"/>
        <v>17.617175820000007</v>
      </c>
      <c r="U78" s="10">
        <f t="shared" si="23"/>
        <v>13.282360160000003</v>
      </c>
      <c r="V78" s="10">
        <f t="shared" si="23"/>
        <v>12.998172359999998</v>
      </c>
      <c r="W78" s="10">
        <f t="shared" si="23"/>
        <v>15.832544459999994</v>
      </c>
      <c r="X78" s="10">
        <f t="shared" si="23"/>
        <v>9.330038100000003</v>
      </c>
      <c r="Y78" s="10">
        <f t="shared" ref="Y78:AD78" si="24">Y71+Y64</f>
        <v>11.899931729999992</v>
      </c>
      <c r="Z78" s="10">
        <f t="shared" si="24"/>
        <v>14.477391430000004</v>
      </c>
      <c r="AA78" s="10">
        <f t="shared" si="24"/>
        <v>9.8756328899999986</v>
      </c>
      <c r="AB78" s="10">
        <f t="shared" si="24"/>
        <v>9.0172068999999979</v>
      </c>
      <c r="AC78" s="10">
        <f t="shared" si="24"/>
        <v>14.714621240000007</v>
      </c>
      <c r="AD78" s="10">
        <f t="shared" si="24"/>
        <v>24.483904949999999</v>
      </c>
    </row>
    <row r="79" spans="1:30" ht="4.5" customHeight="1" x14ac:dyDescent="0.3">
      <c r="A79" s="1">
        <v>19</v>
      </c>
      <c r="C79" s="35">
        <f t="shared" si="16"/>
        <v>0</v>
      </c>
      <c r="D79" s="35">
        <f t="shared" si="17"/>
        <v>0</v>
      </c>
      <c r="E79" s="35"/>
      <c r="I79" s="35"/>
      <c r="J79" s="35"/>
      <c r="K79" s="35"/>
      <c r="L79" s="35"/>
      <c r="M79" s="35"/>
      <c r="N79" s="35"/>
      <c r="O79" s="35"/>
      <c r="P79" s="35"/>
      <c r="Q79" s="35"/>
      <c r="R79" s="35"/>
      <c r="S79" s="35"/>
      <c r="T79" s="35"/>
      <c r="U79" s="35"/>
      <c r="V79" s="35"/>
      <c r="W79" s="35"/>
      <c r="X79" s="35"/>
      <c r="Y79" s="35"/>
      <c r="Z79" s="35"/>
      <c r="AA79" s="35"/>
      <c r="AB79" s="35"/>
      <c r="AC79" s="35"/>
      <c r="AD79" s="35"/>
    </row>
    <row r="80" spans="1:30" x14ac:dyDescent="0.3">
      <c r="A80" s="1">
        <v>20</v>
      </c>
      <c r="B80" s="5" t="s">
        <v>13</v>
      </c>
      <c r="C80" s="48">
        <f t="shared" si="16"/>
        <v>-1.51758236</v>
      </c>
      <c r="D80" s="48">
        <f t="shared" si="17"/>
        <v>-1.6127271700000001</v>
      </c>
      <c r="E80" s="39">
        <f>D80/C80-1</f>
        <v>6.2694989417246605E-2</v>
      </c>
      <c r="H80" s="5" t="s">
        <v>13</v>
      </c>
      <c r="I80" s="8"/>
      <c r="J80" s="8"/>
      <c r="K80" s="8"/>
      <c r="L80" s="8"/>
      <c r="M80" s="8"/>
      <c r="N80" s="8"/>
      <c r="O80" s="8"/>
      <c r="P80" s="8"/>
      <c r="Q80" s="48">
        <v>-1.9020556099999997</v>
      </c>
      <c r="R80" s="48">
        <v>-0.95662959000000014</v>
      </c>
      <c r="S80" s="48">
        <v>-1.38904001</v>
      </c>
      <c r="T80" s="48">
        <v>-1.64653396</v>
      </c>
      <c r="U80" s="48">
        <v>-1.35093598</v>
      </c>
      <c r="V80" s="48">
        <v>-1.4034176600000001</v>
      </c>
      <c r="W80" s="48">
        <v>-1.39107256</v>
      </c>
      <c r="X80" s="48">
        <v>-1.7022323799999999</v>
      </c>
      <c r="Y80" s="48">
        <v>-1.4411471600000001</v>
      </c>
      <c r="Z80" s="48">
        <v>-1.51758236</v>
      </c>
      <c r="AA80" s="48">
        <v>-1.6644289400000001</v>
      </c>
      <c r="AB80" s="48">
        <v>-1.50439375</v>
      </c>
      <c r="AC80" s="48">
        <v>-1.4640062700000001</v>
      </c>
      <c r="AD80" s="48">
        <v>-1.6127271700000001</v>
      </c>
    </row>
    <row r="81" spans="1:30" x14ac:dyDescent="0.3">
      <c r="A81" s="1">
        <v>21</v>
      </c>
      <c r="B81" s="5" t="s">
        <v>94</v>
      </c>
      <c r="C81" s="48">
        <f t="shared" si="16"/>
        <v>-0.63847730999999985</v>
      </c>
      <c r="D81" s="48">
        <f t="shared" si="17"/>
        <v>-0.64479643999999992</v>
      </c>
      <c r="E81" s="54">
        <f>D81/C81-1</f>
        <v>9.8971880457272565E-3</v>
      </c>
      <c r="H81" s="5" t="s">
        <v>94</v>
      </c>
      <c r="I81" s="8"/>
      <c r="J81" s="8"/>
      <c r="K81" s="8"/>
      <c r="L81" s="8"/>
      <c r="M81" s="8"/>
      <c r="N81" s="8"/>
      <c r="O81" s="8"/>
      <c r="P81" s="8"/>
      <c r="Q81" s="48">
        <v>-4.6529306799999999</v>
      </c>
      <c r="R81" s="48">
        <v>-3.0893527200000004</v>
      </c>
      <c r="S81" s="48">
        <v>-0.84189764999999994</v>
      </c>
      <c r="T81" s="48">
        <v>-1.86806512</v>
      </c>
      <c r="U81" s="48">
        <v>-0.51768802999999997</v>
      </c>
      <c r="V81" s="48">
        <v>-0.68306328000000005</v>
      </c>
      <c r="W81" s="48">
        <v>-0.97182712999999998</v>
      </c>
      <c r="X81" s="48">
        <v>10.162852590000002</v>
      </c>
      <c r="Y81" s="48">
        <v>-0.53674665999999993</v>
      </c>
      <c r="Z81" s="48">
        <v>-0.63847730999999985</v>
      </c>
      <c r="AA81" s="48">
        <v>-0.85316294999999986</v>
      </c>
      <c r="AB81" s="48">
        <v>-1.3746567500000002</v>
      </c>
      <c r="AC81" s="48">
        <v>-0.52620058000000003</v>
      </c>
      <c r="AD81" s="48">
        <v>-0.64479643999999992</v>
      </c>
    </row>
    <row r="82" spans="1:30" x14ac:dyDescent="0.3">
      <c r="A82" s="1">
        <v>22</v>
      </c>
      <c r="B82" s="5" t="s">
        <v>15</v>
      </c>
      <c r="C82" s="48">
        <f t="shared" si="16"/>
        <v>-8.2453212299999983</v>
      </c>
      <c r="D82" s="48">
        <f t="shared" si="17"/>
        <v>-13.692407709999999</v>
      </c>
      <c r="E82" s="39">
        <f t="shared" ref="E82" si="25">D82/C82-1</f>
        <v>0.66062756417314294</v>
      </c>
      <c r="H82" s="5" t="s">
        <v>15</v>
      </c>
      <c r="I82" s="8"/>
      <c r="J82" s="8"/>
      <c r="K82" s="8"/>
      <c r="L82" s="8"/>
      <c r="M82" s="8"/>
      <c r="N82" s="8"/>
      <c r="O82" s="8"/>
      <c r="P82" s="8"/>
      <c r="Q82" s="48">
        <v>-7.9848667500000001</v>
      </c>
      <c r="R82" s="48">
        <v>-7.9488865200000003</v>
      </c>
      <c r="S82" s="48">
        <v>-7.9521240000000013</v>
      </c>
      <c r="T82" s="48">
        <v>-8.0023987100000014</v>
      </c>
      <c r="U82" s="48">
        <v>-8.0354829599999995</v>
      </c>
      <c r="V82" s="48">
        <v>-8.0330798399999992</v>
      </c>
      <c r="W82" s="48">
        <v>-7.8220839199999972</v>
      </c>
      <c r="X82" s="48">
        <v>-8.3412998900000002</v>
      </c>
      <c r="Y82" s="48">
        <v>-8.1506856200000009</v>
      </c>
      <c r="Z82" s="48">
        <v>-8.2453212299999983</v>
      </c>
      <c r="AA82" s="48">
        <v>-8.2788340199999997</v>
      </c>
      <c r="AB82" s="48">
        <v>-8.5874377700000011</v>
      </c>
      <c r="AC82" s="48">
        <v>-8.5861140700000007</v>
      </c>
      <c r="AD82" s="48">
        <v>-13.692407709999999</v>
      </c>
    </row>
    <row r="83" spans="1:30" ht="4.5" customHeight="1" x14ac:dyDescent="0.3">
      <c r="A83" s="1">
        <v>23</v>
      </c>
      <c r="C83" s="35">
        <f t="shared" si="16"/>
        <v>0</v>
      </c>
      <c r="D83" s="35">
        <f t="shared" si="17"/>
        <v>0</v>
      </c>
      <c r="E83" s="35"/>
      <c r="I83" s="35"/>
      <c r="J83" s="35"/>
      <c r="K83" s="35"/>
      <c r="L83" s="35"/>
      <c r="M83" s="35"/>
      <c r="N83" s="35"/>
      <c r="O83" s="35"/>
      <c r="P83" s="35"/>
      <c r="Q83" s="35"/>
      <c r="R83" s="35"/>
      <c r="S83" s="35"/>
      <c r="T83" s="35"/>
      <c r="U83" s="35"/>
      <c r="V83" s="35"/>
      <c r="W83" s="35"/>
      <c r="X83" s="35"/>
      <c r="Y83" s="35"/>
      <c r="Z83" s="35"/>
      <c r="AA83" s="35"/>
      <c r="AB83" s="35"/>
      <c r="AC83" s="35"/>
      <c r="AD83" s="35"/>
    </row>
    <row r="84" spans="1:30" x14ac:dyDescent="0.3">
      <c r="A84" s="1">
        <v>24</v>
      </c>
      <c r="B84" s="2" t="s">
        <v>95</v>
      </c>
      <c r="C84" s="10">
        <f t="shared" si="16"/>
        <v>4.0760105300000049</v>
      </c>
      <c r="D84" s="10">
        <f t="shared" si="17"/>
        <v>8.5339736300000002</v>
      </c>
      <c r="E84" s="57">
        <f>D84/C84-1</f>
        <v>1.0937074541855978</v>
      </c>
      <c r="H84" s="2" t="s">
        <v>95</v>
      </c>
      <c r="I84" s="34"/>
      <c r="J84" s="34"/>
      <c r="K84" s="34"/>
      <c r="L84" s="34"/>
      <c r="M84" s="34"/>
      <c r="N84" s="34"/>
      <c r="O84" s="34"/>
      <c r="P84" s="34"/>
      <c r="Q84" s="10">
        <f t="shared" ref="Q84:W84" si="26">Q78+Q80+Q81+Q82</f>
        <v>8.7377634799999964</v>
      </c>
      <c r="R84" s="10">
        <f t="shared" si="26"/>
        <v>1.1725179499999996</v>
      </c>
      <c r="S84" s="10">
        <f t="shared" si="26"/>
        <v>8.1401808200000048</v>
      </c>
      <c r="T84" s="10">
        <f t="shared" si="26"/>
        <v>6.1001780300000057</v>
      </c>
      <c r="U84" s="10">
        <f t="shared" si="26"/>
        <v>3.3782531900000041</v>
      </c>
      <c r="V84" s="10">
        <f t="shared" si="26"/>
        <v>2.8786115799999976</v>
      </c>
      <c r="W84" s="10">
        <f t="shared" si="26"/>
        <v>5.6475608499999979</v>
      </c>
      <c r="X84" s="10">
        <f t="shared" ref="X84:Y84" si="27">X78+X80+X81+X82</f>
        <v>9.4493584200000047</v>
      </c>
      <c r="Y84" s="10">
        <f t="shared" si="27"/>
        <v>1.7713522899999905</v>
      </c>
      <c r="Z84" s="10">
        <f t="shared" ref="Z84" si="28">Z78+Z80+Z81+Z82</f>
        <v>4.0760105300000049</v>
      </c>
      <c r="AA84" s="10">
        <f>AA78+AA80+AA81+AA82</f>
        <v>-0.92079302000000141</v>
      </c>
      <c r="AB84" s="10">
        <f>AB78+AB80+AB81+AB82</f>
        <v>-2.4492813700000031</v>
      </c>
      <c r="AC84" s="10">
        <f>AC78+AC80+AC81+AC82</f>
        <v>4.1383003200000061</v>
      </c>
      <c r="AD84" s="10">
        <f>AD78+AD80+AD81+AD82</f>
        <v>8.5339736300000002</v>
      </c>
    </row>
    <row r="85" spans="1:30" ht="4.5" customHeight="1" x14ac:dyDescent="0.3">
      <c r="A85" s="1">
        <v>25</v>
      </c>
      <c r="B85" s="45"/>
      <c r="C85" s="46">
        <f t="shared" si="16"/>
        <v>0</v>
      </c>
      <c r="D85" s="46">
        <f t="shared" si="17"/>
        <v>0</v>
      </c>
      <c r="E85" s="46"/>
      <c r="H85" s="45"/>
      <c r="I85" s="49"/>
      <c r="J85" s="49"/>
      <c r="K85" s="49"/>
      <c r="L85" s="49"/>
      <c r="M85" s="49"/>
      <c r="N85" s="49"/>
      <c r="O85" s="49"/>
      <c r="P85" s="49"/>
      <c r="Q85" s="46"/>
      <c r="R85" s="46"/>
      <c r="S85" s="46"/>
      <c r="T85" s="46"/>
      <c r="U85" s="46"/>
      <c r="V85" s="46"/>
      <c r="W85" s="46"/>
      <c r="X85" s="46"/>
      <c r="Y85" s="46"/>
      <c r="Z85" s="46"/>
      <c r="AA85" s="46"/>
      <c r="AB85" s="46"/>
      <c r="AC85" s="46"/>
      <c r="AD85" s="46"/>
    </row>
    <row r="86" spans="1:30" x14ac:dyDescent="0.3">
      <c r="A86" s="1">
        <v>26</v>
      </c>
      <c r="B86" s="2" t="s">
        <v>17</v>
      </c>
      <c r="C86" s="10">
        <f t="shared" si="16"/>
        <v>12.321331760000003</v>
      </c>
      <c r="D86" s="10">
        <f t="shared" si="17"/>
        <v>22.22638134</v>
      </c>
      <c r="E86" s="41">
        <f>D86/C86-1</f>
        <v>0.80389439818151565</v>
      </c>
      <c r="H86" s="2" t="s">
        <v>17</v>
      </c>
      <c r="I86" s="34"/>
      <c r="J86" s="34"/>
      <c r="K86" s="34"/>
      <c r="L86" s="34"/>
      <c r="M86" s="34"/>
      <c r="N86" s="34"/>
      <c r="O86" s="34"/>
      <c r="P86" s="34"/>
      <c r="Q86" s="10">
        <f t="shared" ref="Q86:W86" si="29">Q84-Q82</f>
        <v>16.722630229999996</v>
      </c>
      <c r="R86" s="10">
        <f t="shared" si="29"/>
        <v>9.1214044699999999</v>
      </c>
      <c r="S86" s="10">
        <f>S84-S82</f>
        <v>16.092304820000006</v>
      </c>
      <c r="T86" s="10">
        <f>T84-T82</f>
        <v>14.102576740000007</v>
      </c>
      <c r="U86" s="10">
        <f>U84-U82</f>
        <v>11.413736150000004</v>
      </c>
      <c r="V86" s="10">
        <f>V84-V82</f>
        <v>10.911691419999997</v>
      </c>
      <c r="W86" s="10">
        <f t="shared" si="29"/>
        <v>13.469644769999995</v>
      </c>
      <c r="X86" s="10">
        <f t="shared" ref="X86:Y86" si="30">X84-X82</f>
        <v>17.790658310000005</v>
      </c>
      <c r="Y86" s="10">
        <f t="shared" si="30"/>
        <v>9.9220379099999914</v>
      </c>
      <c r="Z86" s="10">
        <f t="shared" ref="Z86" si="31">Z84-Z82</f>
        <v>12.321331760000003</v>
      </c>
      <c r="AA86" s="10">
        <f>AA84-AA82</f>
        <v>7.3580409999999983</v>
      </c>
      <c r="AB86" s="10">
        <f>AB84-AB82</f>
        <v>6.138156399999998</v>
      </c>
      <c r="AC86" s="10">
        <f>AC84-AC82</f>
        <v>12.724414390000007</v>
      </c>
      <c r="AD86" s="10">
        <f>AD84-AD82</f>
        <v>22.22638134</v>
      </c>
    </row>
    <row r="87" spans="1:30" x14ac:dyDescent="0.3">
      <c r="W87" s="60"/>
    </row>
    <row r="89" spans="1:30" ht="86.45" customHeight="1" x14ac:dyDescent="0.3">
      <c r="B89" s="85" t="s">
        <v>121</v>
      </c>
      <c r="C89" s="85"/>
      <c r="D89" s="85"/>
      <c r="E89" s="85"/>
      <c r="W89" s="60"/>
    </row>
    <row r="90" spans="1:30" x14ac:dyDescent="0.3">
      <c r="W90" s="61"/>
    </row>
  </sheetData>
  <mergeCells count="32">
    <mergeCell ref="L61:L62"/>
    <mergeCell ref="M61:M62"/>
    <mergeCell ref="B89:E89"/>
    <mergeCell ref="C38:C39"/>
    <mergeCell ref="D38:D39"/>
    <mergeCell ref="E38:E39"/>
    <mergeCell ref="C61:C62"/>
    <mergeCell ref="D61:D62"/>
    <mergeCell ref="W61:W62"/>
    <mergeCell ref="AD61:AD62"/>
    <mergeCell ref="AC61:AC62"/>
    <mergeCell ref="AA61:AA62"/>
    <mergeCell ref="AB61:AB62"/>
    <mergeCell ref="Z61:Z62"/>
    <mergeCell ref="Y61:Y62"/>
    <mergeCell ref="X61:X62"/>
    <mergeCell ref="C7:C8"/>
    <mergeCell ref="D7:D8"/>
    <mergeCell ref="E7:E8"/>
    <mergeCell ref="U61:U62"/>
    <mergeCell ref="V61:V62"/>
    <mergeCell ref="E61:E62"/>
    <mergeCell ref="S61:S62"/>
    <mergeCell ref="T61:T62"/>
    <mergeCell ref="N61:N62"/>
    <mergeCell ref="O61:O62"/>
    <mergeCell ref="P61:P62"/>
    <mergeCell ref="Q61:Q62"/>
    <mergeCell ref="R61:R62"/>
    <mergeCell ref="I61:I62"/>
    <mergeCell ref="J61:J62"/>
    <mergeCell ref="K61:K6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4:AD50"/>
  <sheetViews>
    <sheetView topLeftCell="B1" zoomScale="80" zoomScaleNormal="80" workbookViewId="0">
      <selection activeCell="D34" sqref="D34"/>
    </sheetView>
  </sheetViews>
  <sheetFormatPr baseColWidth="10" defaultColWidth="11.42578125" defaultRowHeight="15" x14ac:dyDescent="0.3"/>
  <cols>
    <col min="1" max="1" width="0" style="1" hidden="1" customWidth="1"/>
    <col min="2" max="2" width="57" style="1" customWidth="1"/>
    <col min="3" max="7" width="11.42578125" style="1"/>
    <col min="8" max="8" width="60.7109375" style="1" customWidth="1"/>
    <col min="9" max="20" width="11.42578125" style="1" hidden="1" customWidth="1"/>
    <col min="21" max="26" width="15" style="1" customWidth="1"/>
    <col min="27" max="27" width="11.42578125" style="1" customWidth="1"/>
    <col min="28" max="16384" width="11.42578125" style="1"/>
  </cols>
  <sheetData>
    <row r="4" spans="1:30" ht="23.25" x14ac:dyDescent="0.35">
      <c r="B4" s="13" t="s">
        <v>30</v>
      </c>
      <c r="C4" s="14"/>
      <c r="D4" s="14"/>
      <c r="E4" s="14"/>
      <c r="H4" s="13" t="s">
        <v>30</v>
      </c>
      <c r="I4" s="14"/>
      <c r="J4" s="14"/>
      <c r="K4" s="14"/>
      <c r="L4" s="14"/>
      <c r="M4" s="14"/>
      <c r="N4" s="14"/>
      <c r="O4" s="14"/>
      <c r="P4" s="14"/>
      <c r="Q4" s="14"/>
      <c r="R4" s="14"/>
      <c r="S4" s="14"/>
      <c r="T4" s="14"/>
      <c r="U4" s="14"/>
      <c r="V4" s="14"/>
      <c r="W4" s="14"/>
      <c r="X4" s="14"/>
      <c r="Y4" s="14"/>
      <c r="Z4" s="14"/>
      <c r="AA4" s="14"/>
      <c r="AB4" s="14"/>
      <c r="AC4" s="14"/>
      <c r="AD4" s="14"/>
    </row>
    <row r="5" spans="1:30" ht="8.25" customHeight="1" x14ac:dyDescent="0.3"/>
    <row r="6" spans="1:30" x14ac:dyDescent="0.3">
      <c r="A6" s="1">
        <v>1</v>
      </c>
      <c r="B6" s="3" t="s">
        <v>38</v>
      </c>
      <c r="C6" s="84" t="s">
        <v>110</v>
      </c>
      <c r="D6" s="84" t="s">
        <v>118</v>
      </c>
      <c r="E6" s="84" t="s">
        <v>29</v>
      </c>
      <c r="H6" s="3" t="s">
        <v>38</v>
      </c>
      <c r="I6" s="84" t="s">
        <v>55</v>
      </c>
      <c r="J6" s="84" t="s">
        <v>56</v>
      </c>
      <c r="K6" s="84" t="s">
        <v>57</v>
      </c>
      <c r="L6" s="84" t="s">
        <v>58</v>
      </c>
      <c r="M6" s="84" t="s">
        <v>59</v>
      </c>
      <c r="N6" s="84" t="s">
        <v>60</v>
      </c>
      <c r="O6" s="84" t="s">
        <v>61</v>
      </c>
      <c r="P6" s="84" t="s">
        <v>62</v>
      </c>
      <c r="Q6" s="84" t="s">
        <v>54</v>
      </c>
      <c r="R6" s="84" t="s">
        <v>53</v>
      </c>
      <c r="S6" s="84" t="s">
        <v>52</v>
      </c>
      <c r="T6" s="84" t="s">
        <v>51</v>
      </c>
      <c r="U6" s="84" t="s">
        <v>50</v>
      </c>
      <c r="V6" s="84" t="s">
        <v>49</v>
      </c>
      <c r="W6" s="84" t="s">
        <v>48</v>
      </c>
      <c r="X6" s="84" t="s">
        <v>99</v>
      </c>
      <c r="Y6" s="84" t="s">
        <v>102</v>
      </c>
      <c r="Z6" s="84" t="s">
        <v>110</v>
      </c>
      <c r="AA6" s="84" t="s">
        <v>111</v>
      </c>
      <c r="AB6" s="84" t="s">
        <v>112</v>
      </c>
      <c r="AC6" s="84" t="s">
        <v>114</v>
      </c>
      <c r="AD6" s="84" t="s">
        <v>118</v>
      </c>
    </row>
    <row r="7" spans="1:30" x14ac:dyDescent="0.3">
      <c r="A7" s="1">
        <v>2</v>
      </c>
      <c r="B7" s="3" t="s">
        <v>0</v>
      </c>
      <c r="C7" s="84"/>
      <c r="D7" s="84"/>
      <c r="E7" s="84"/>
      <c r="H7" s="3" t="s">
        <v>0</v>
      </c>
      <c r="I7" s="84"/>
      <c r="J7" s="84"/>
      <c r="K7" s="84"/>
      <c r="L7" s="84"/>
      <c r="M7" s="84"/>
      <c r="N7" s="84"/>
      <c r="O7" s="84"/>
      <c r="P7" s="84"/>
      <c r="Q7" s="84"/>
      <c r="R7" s="84"/>
      <c r="S7" s="84"/>
      <c r="T7" s="84"/>
      <c r="U7" s="84"/>
      <c r="V7" s="84"/>
      <c r="W7" s="84"/>
      <c r="X7" s="84"/>
      <c r="Y7" s="84"/>
      <c r="Z7" s="84"/>
      <c r="AA7" s="84"/>
      <c r="AB7" s="84"/>
      <c r="AC7" s="84"/>
      <c r="AD7" s="84"/>
    </row>
    <row r="8" spans="1:30" ht="5.25" customHeight="1" x14ac:dyDescent="0.3">
      <c r="A8" s="1">
        <v>3</v>
      </c>
    </row>
    <row r="9" spans="1:30" x14ac:dyDescent="0.3">
      <c r="A9" s="1">
        <v>4</v>
      </c>
      <c r="B9" s="5" t="s">
        <v>18</v>
      </c>
      <c r="C9" s="9">
        <f>+HLOOKUP($C$6,$H$6:$AP$23,A9,FALSE)</f>
        <v>4.2783687300000004</v>
      </c>
      <c r="D9" s="9">
        <f>+HLOOKUP($D$6,$H$6:$AP$23,A9,FALSE)</f>
        <v>4.8234028599999998</v>
      </c>
      <c r="E9" s="39">
        <f>+D9/C9-1</f>
        <v>0.12739297718268405</v>
      </c>
      <c r="H9" s="5" t="s">
        <v>18</v>
      </c>
      <c r="I9" s="9">
        <v>1.4662270099999999</v>
      </c>
      <c r="J9" s="9">
        <v>1.1757188900000002</v>
      </c>
      <c r="K9" s="9">
        <v>1.7353684800000002</v>
      </c>
      <c r="L9" s="9">
        <v>1.1839040000000001</v>
      </c>
      <c r="M9" s="9">
        <v>0.95460129000000005</v>
      </c>
      <c r="N9" s="9">
        <v>1.11481557</v>
      </c>
      <c r="O9" s="9">
        <v>1.42294038</v>
      </c>
      <c r="P9" s="9">
        <v>2.02492457</v>
      </c>
      <c r="Q9" s="9">
        <v>2.5239263000000003</v>
      </c>
      <c r="R9" s="9">
        <v>2.6392289799999999</v>
      </c>
      <c r="S9" s="9">
        <v>1.97991607</v>
      </c>
      <c r="T9" s="9">
        <v>2.3358944199999998</v>
      </c>
      <c r="U9" s="9">
        <v>2.4035590900000003</v>
      </c>
      <c r="V9" s="9">
        <v>2.6319862900000004</v>
      </c>
      <c r="W9" s="9">
        <v>3.0199921999999999</v>
      </c>
      <c r="X9" s="9">
        <v>4.0376973799999991</v>
      </c>
      <c r="Y9" s="9">
        <v>4.6344836200000001</v>
      </c>
      <c r="Z9" s="9">
        <v>4.2783687300000004</v>
      </c>
      <c r="AA9" s="9">
        <v>4.7103349699999999</v>
      </c>
      <c r="AB9" s="9">
        <f>6.01289806-AB33</f>
        <v>5.7128980600000006</v>
      </c>
      <c r="AC9" s="9">
        <f>6.38418633-AC33</f>
        <v>6.2427841200000005</v>
      </c>
      <c r="AD9" s="9">
        <v>4.8234028599999998</v>
      </c>
    </row>
    <row r="10" spans="1:30" x14ac:dyDescent="0.3">
      <c r="A10" s="1">
        <v>5</v>
      </c>
      <c r="B10" s="5" t="s">
        <v>19</v>
      </c>
      <c r="C10" s="9">
        <f t="shared" ref="C10:C23" si="0">+HLOOKUP($C$6,$H$6:$AP$23,A10,FALSE)</f>
        <v>-16.379844120000001</v>
      </c>
      <c r="D10" s="9">
        <f t="shared" ref="D10:D23" si="1">+HLOOKUP($D$6,$H$6:$AP$23,A10,FALSE)</f>
        <v>-16.063149940000002</v>
      </c>
      <c r="E10" s="39">
        <f t="shared" ref="E10:E13" si="2">+D10/C10-1</f>
        <v>-1.9334383018536294E-2</v>
      </c>
      <c r="H10" s="5" t="s">
        <v>19</v>
      </c>
      <c r="I10" s="9">
        <v>-10.626635870000003</v>
      </c>
      <c r="J10" s="9">
        <v>-18.906711529999999</v>
      </c>
      <c r="K10" s="9">
        <v>-22.234989130000002</v>
      </c>
      <c r="L10" s="9">
        <v>-24.200978769999999</v>
      </c>
      <c r="M10" s="9">
        <v>-22.225827200000001</v>
      </c>
      <c r="N10" s="9">
        <v>-22.659230260000001</v>
      </c>
      <c r="O10" s="9">
        <v>-22.1827258</v>
      </c>
      <c r="P10" s="9">
        <v>-23.468063270000012</v>
      </c>
      <c r="Q10" s="9">
        <v>-21.995525559999994</v>
      </c>
      <c r="R10" s="9">
        <v>-29.405213699999994</v>
      </c>
      <c r="S10" s="9">
        <v>-20.349421719999999</v>
      </c>
      <c r="T10" s="9">
        <v>-17.031099160000004</v>
      </c>
      <c r="U10" s="9">
        <v>-17.078348720000001</v>
      </c>
      <c r="V10" s="9">
        <v>-16.949563600000001</v>
      </c>
      <c r="W10" s="9">
        <v>-18.106198549999998</v>
      </c>
      <c r="X10" s="9">
        <v>-18.049542049999999</v>
      </c>
      <c r="Y10" s="9">
        <v>-16.651068130000002</v>
      </c>
      <c r="Z10" s="9">
        <v>-16.379844120000001</v>
      </c>
      <c r="AA10" s="9">
        <v>-16.317024100000001</v>
      </c>
      <c r="AB10" s="9">
        <f>+-20.77659963-AB34</f>
        <v>-16.176599629999998</v>
      </c>
      <c r="AC10" s="9">
        <f>+-20.67158708-AC34</f>
        <v>-16.071972759999998</v>
      </c>
      <c r="AD10" s="9">
        <v>-16.063149940000002</v>
      </c>
    </row>
    <row r="11" spans="1:30" x14ac:dyDescent="0.3">
      <c r="A11" s="1">
        <v>6</v>
      </c>
      <c r="B11" s="5" t="s">
        <v>20</v>
      </c>
      <c r="C11" s="9">
        <f t="shared" si="0"/>
        <v>-6.2046905200000015</v>
      </c>
      <c r="D11" s="9">
        <f t="shared" si="1"/>
        <v>0.56314343000000178</v>
      </c>
      <c r="E11" s="66">
        <v>0</v>
      </c>
      <c r="H11" s="5" t="s">
        <v>20</v>
      </c>
      <c r="I11" s="9">
        <v>-8.8651856400000035</v>
      </c>
      <c r="J11" s="9">
        <v>-4.3334364300000034</v>
      </c>
      <c r="K11" s="9">
        <v>-4.3586822799999982</v>
      </c>
      <c r="L11" s="9">
        <v>-4.8634491599999947</v>
      </c>
      <c r="M11" s="9">
        <v>0.40925101999999863</v>
      </c>
      <c r="N11" s="9">
        <v>9.0239089999998218E-2</v>
      </c>
      <c r="O11" s="9">
        <v>-11.379597659999998</v>
      </c>
      <c r="P11" s="9">
        <v>-0.28029470999999839</v>
      </c>
      <c r="Q11" s="9">
        <v>1.6776827199999993</v>
      </c>
      <c r="R11" s="9">
        <v>1.8926907599999989</v>
      </c>
      <c r="S11" s="9">
        <v>0.6660450100000006</v>
      </c>
      <c r="T11" s="9">
        <v>-2.1365888599999994</v>
      </c>
      <c r="U11" s="9">
        <v>-1.1568363599999962</v>
      </c>
      <c r="V11" s="9">
        <v>0.97049637000000044</v>
      </c>
      <c r="W11" s="9">
        <v>2.7896323000000032</v>
      </c>
      <c r="X11" s="9">
        <v>3.2934243999999993</v>
      </c>
      <c r="Y11" s="9">
        <v>-0.92194750000000047</v>
      </c>
      <c r="Z11" s="9">
        <v>-6.2046905200000015</v>
      </c>
      <c r="AA11" s="9">
        <v>-1.2370830100000005</v>
      </c>
      <c r="AB11" s="9">
        <f>+-3.07027684-AB35</f>
        <v>-2.3702768399999998</v>
      </c>
      <c r="AC11" s="9">
        <f>1.26233637-AC35</f>
        <v>0.51242419000000017</v>
      </c>
      <c r="AD11" s="9">
        <v>0.56314343000000178</v>
      </c>
    </row>
    <row r="12" spans="1:30" x14ac:dyDescent="0.3">
      <c r="A12" s="1">
        <v>7</v>
      </c>
      <c r="B12" s="5" t="s">
        <v>21</v>
      </c>
      <c r="C12" s="9">
        <f t="shared" si="0"/>
        <v>2.09918505</v>
      </c>
      <c r="D12" s="9">
        <f t="shared" si="1"/>
        <v>2.5646927799999997</v>
      </c>
      <c r="E12" s="39">
        <f t="shared" si="2"/>
        <v>0.22175640494390891</v>
      </c>
      <c r="H12" s="5" t="s">
        <v>21</v>
      </c>
      <c r="I12" s="9">
        <v>1.3290894200000001</v>
      </c>
      <c r="J12" s="9">
        <v>1.5853836699999999</v>
      </c>
      <c r="K12" s="9">
        <v>0.97654169999999996</v>
      </c>
      <c r="L12" s="9">
        <v>-103.20577056</v>
      </c>
      <c r="M12" s="9">
        <v>1.4798667200000002</v>
      </c>
      <c r="N12" s="9">
        <v>1.6878022100000001</v>
      </c>
      <c r="O12" s="9">
        <v>2.3139469400000001</v>
      </c>
      <c r="P12" s="9">
        <v>1.1384796700000002</v>
      </c>
      <c r="Q12" s="9">
        <v>1.3951977900000001</v>
      </c>
      <c r="R12" s="9">
        <v>1.6620992699999999</v>
      </c>
      <c r="S12" s="9">
        <v>1.4309245900000001</v>
      </c>
      <c r="T12" s="9">
        <v>0.92597229999999997</v>
      </c>
      <c r="U12" s="9">
        <v>0.73980449999999998</v>
      </c>
      <c r="V12" s="9">
        <v>1.1078972599999999</v>
      </c>
      <c r="W12" s="9">
        <v>1.2924579299999999</v>
      </c>
      <c r="X12" s="9">
        <v>-0.23659015999999999</v>
      </c>
      <c r="Y12" s="9">
        <v>4.6503776200000004</v>
      </c>
      <c r="Z12" s="9">
        <v>2.09918505</v>
      </c>
      <c r="AA12" s="9">
        <v>2.82230545</v>
      </c>
      <c r="AB12" s="9">
        <f>1.81704674-AB36</f>
        <v>2.1170467400000001</v>
      </c>
      <c r="AC12" s="9">
        <v>2.3436588</v>
      </c>
      <c r="AD12" s="9">
        <v>2.5646927799999997</v>
      </c>
    </row>
    <row r="13" spans="1:30" x14ac:dyDescent="0.3">
      <c r="A13" s="1">
        <v>8</v>
      </c>
      <c r="B13" s="5" t="s">
        <v>22</v>
      </c>
      <c r="C13" s="9">
        <f t="shared" si="0"/>
        <v>-9.2554299900000014</v>
      </c>
      <c r="D13" s="9">
        <f t="shared" si="1"/>
        <v>-9.8854343699999987</v>
      </c>
      <c r="E13" s="39">
        <f t="shared" si="2"/>
        <v>6.806862357347887E-2</v>
      </c>
      <c r="H13" s="5" t="s">
        <v>22</v>
      </c>
      <c r="I13" s="9">
        <v>7.6787009399999997</v>
      </c>
      <c r="J13" s="9">
        <v>-0.6349095800000002</v>
      </c>
      <c r="K13" s="9">
        <v>1.5550089300000001</v>
      </c>
      <c r="L13" s="9">
        <v>-10.01893578</v>
      </c>
      <c r="M13" s="9">
        <v>-0.86712882999999974</v>
      </c>
      <c r="N13" s="9">
        <v>-3.8732335000000004</v>
      </c>
      <c r="O13" s="9">
        <v>10.518928080000002</v>
      </c>
      <c r="P13" s="9">
        <v>-6.9999426499999995</v>
      </c>
      <c r="Q13" s="9">
        <v>-0.57909954999999991</v>
      </c>
      <c r="R13" s="9">
        <v>-3.5300810800000009</v>
      </c>
      <c r="S13" s="9">
        <v>-0.45134172000000006</v>
      </c>
      <c r="T13" s="9">
        <v>-9.0108974999999987</v>
      </c>
      <c r="U13" s="9">
        <v>-4.5125797099999998</v>
      </c>
      <c r="V13" s="9">
        <v>14.862204890000001</v>
      </c>
      <c r="W13" s="9">
        <v>-3.5680980999999998</v>
      </c>
      <c r="X13" s="9">
        <v>-91.652864159999993</v>
      </c>
      <c r="Y13" s="9">
        <v>-4.1548844699999998</v>
      </c>
      <c r="Z13" s="9">
        <v>-9.2554299900000014</v>
      </c>
      <c r="AA13" s="9">
        <v>-4.7160856799999999</v>
      </c>
      <c r="AB13" s="9">
        <v>-34.22733968</v>
      </c>
      <c r="AC13" s="9">
        <f>+-4.51412636-AC36</f>
        <v>-5.9547356499999999</v>
      </c>
      <c r="AD13" s="9">
        <v>-9.8854343699999987</v>
      </c>
    </row>
    <row r="14" spans="1:30" ht="5.25" customHeight="1" x14ac:dyDescent="0.3">
      <c r="A14" s="1">
        <v>9</v>
      </c>
      <c r="E14" s="42"/>
    </row>
    <row r="15" spans="1:30" x14ac:dyDescent="0.3">
      <c r="A15" s="1">
        <v>10</v>
      </c>
      <c r="B15" s="6" t="s">
        <v>23</v>
      </c>
      <c r="C15" s="10">
        <f t="shared" si="0"/>
        <v>-25.462410850000005</v>
      </c>
      <c r="D15" s="10">
        <f t="shared" si="1"/>
        <v>-17.997345240000001</v>
      </c>
      <c r="E15" s="41">
        <f>D15/C15-1</f>
        <v>-0.29317984278774611</v>
      </c>
      <c r="H15" s="6" t="s">
        <v>23</v>
      </c>
      <c r="I15" s="10">
        <v>-6.6308545700000083</v>
      </c>
      <c r="J15" s="10">
        <v>-17.834364060000002</v>
      </c>
      <c r="K15" s="10">
        <v>-21.318247579999998</v>
      </c>
      <c r="L15" s="10">
        <v>-138.73017600999998</v>
      </c>
      <c r="M15" s="10">
        <v>-20.192410980000002</v>
      </c>
      <c r="N15" s="10">
        <v>-22.432699890000002</v>
      </c>
      <c r="O15" s="10">
        <v>-18.421275529999996</v>
      </c>
      <c r="P15" s="10">
        <v>-27.308815910000014</v>
      </c>
      <c r="Q15" s="10">
        <v>-16.977818299999992</v>
      </c>
      <c r="R15" s="10">
        <v>-26.800124760000003</v>
      </c>
      <c r="S15" s="10">
        <v>-16.719940419999993</v>
      </c>
      <c r="T15" s="10">
        <v>-24.917197690000002</v>
      </c>
      <c r="U15" s="10">
        <v>-19.604401199999995</v>
      </c>
      <c r="V15" s="10">
        <v>2.623021210000001</v>
      </c>
      <c r="W15" s="10">
        <v>-14.572214219999999</v>
      </c>
      <c r="X15" s="10">
        <v>-102.60787458999999</v>
      </c>
      <c r="Y15" s="10">
        <f t="shared" ref="Y15:AD15" si="3">SUM(Y9:Y13)</f>
        <v>-12.443038860000001</v>
      </c>
      <c r="Z15" s="10">
        <f t="shared" si="3"/>
        <v>-25.462410850000005</v>
      </c>
      <c r="AA15" s="10">
        <f t="shared" si="3"/>
        <v>-14.737552370000003</v>
      </c>
      <c r="AB15" s="10">
        <f t="shared" si="3"/>
        <v>-44.944271349999994</v>
      </c>
      <c r="AC15" s="10">
        <f t="shared" si="3"/>
        <v>-12.927841299999997</v>
      </c>
      <c r="AD15" s="10">
        <f t="shared" si="3"/>
        <v>-17.997345240000001</v>
      </c>
    </row>
    <row r="16" spans="1:30" ht="5.25" customHeight="1" x14ac:dyDescent="0.3">
      <c r="A16" s="1">
        <v>11</v>
      </c>
      <c r="E16" s="42"/>
    </row>
    <row r="17" spans="1:30" x14ac:dyDescent="0.3">
      <c r="A17" s="1">
        <v>12</v>
      </c>
      <c r="B17" s="6" t="s">
        <v>24</v>
      </c>
      <c r="C17" s="10">
        <f t="shared" si="0"/>
        <v>65.639307059999965</v>
      </c>
      <c r="D17" s="10">
        <f t="shared" si="1"/>
        <v>81.263724620000033</v>
      </c>
      <c r="E17" s="41">
        <f>D17/C17-1</f>
        <v>0.23803446836691933</v>
      </c>
      <c r="H17" s="6" t="s">
        <v>24</v>
      </c>
      <c r="I17" s="10">
        <v>71.170038330000011</v>
      </c>
      <c r="J17" s="10">
        <v>76.810161420000014</v>
      </c>
      <c r="K17" s="10">
        <v>49.311618929999987</v>
      </c>
      <c r="L17" s="10">
        <v>-27.623299349999996</v>
      </c>
      <c r="M17" s="10">
        <v>25.133030360000038</v>
      </c>
      <c r="N17" s="10">
        <v>65.548682040000045</v>
      </c>
      <c r="O17" s="10">
        <v>113.60699054999998</v>
      </c>
      <c r="P17" s="10">
        <v>95.746828170000015</v>
      </c>
      <c r="Q17" s="10">
        <v>88.66899841</v>
      </c>
      <c r="R17" s="10">
        <v>68.086533309999965</v>
      </c>
      <c r="S17" s="10">
        <v>40.708289729999997</v>
      </c>
      <c r="T17" s="10">
        <v>66.803174149999961</v>
      </c>
      <c r="U17" s="10">
        <v>72.245809979999947</v>
      </c>
      <c r="V17" s="10">
        <v>97.849836280000019</v>
      </c>
      <c r="W17" s="10">
        <v>94.273412179999951</v>
      </c>
      <c r="X17" s="10">
        <v>48.758042970000048</v>
      </c>
      <c r="Y17" s="10">
        <v>90.744920930000035</v>
      </c>
      <c r="Z17" s="10">
        <v>65.639307059999965</v>
      </c>
      <c r="AA17" s="10">
        <v>83.029694280000029</v>
      </c>
      <c r="AB17" s="10">
        <f>99.94054904-AB40</f>
        <v>96.706575409999999</v>
      </c>
      <c r="AC17" s="10">
        <f>86.44175021-AC40</f>
        <v>84.571140529999994</v>
      </c>
      <c r="AD17" s="10">
        <v>81.263724620000033</v>
      </c>
    </row>
    <row r="18" spans="1:30" ht="5.25" customHeight="1" x14ac:dyDescent="0.3">
      <c r="A18" s="1">
        <v>13</v>
      </c>
      <c r="E18" s="42"/>
    </row>
    <row r="19" spans="1:30" x14ac:dyDescent="0.3">
      <c r="A19" s="1">
        <v>14</v>
      </c>
      <c r="B19" s="5" t="s">
        <v>25</v>
      </c>
      <c r="C19" s="9">
        <f t="shared" si="0"/>
        <v>-17.507565499999998</v>
      </c>
      <c r="D19" s="9">
        <f t="shared" si="1"/>
        <v>-20.05861646</v>
      </c>
      <c r="E19" s="54">
        <f t="shared" ref="E19" si="4">+D19/C19-1</f>
        <v>0.14571134747432479</v>
      </c>
      <c r="H19" s="5" t="s">
        <v>25</v>
      </c>
      <c r="I19" s="9">
        <v>-19.63363708</v>
      </c>
      <c r="J19" s="9">
        <v>-5.2345776500000003</v>
      </c>
      <c r="K19" s="9">
        <v>-31.107243130000001</v>
      </c>
      <c r="L19" s="9">
        <v>-53.664444459999999</v>
      </c>
      <c r="M19" s="9">
        <v>-18.16355287</v>
      </c>
      <c r="N19" s="9">
        <v>-15.449120819999997</v>
      </c>
      <c r="O19" s="9">
        <v>-37.890691470000007</v>
      </c>
      <c r="P19" s="9">
        <v>-28.099890070000001</v>
      </c>
      <c r="Q19" s="9">
        <v>-20.475529990000002</v>
      </c>
      <c r="R19" s="9">
        <v>-15.959445620000002</v>
      </c>
      <c r="S19" s="9">
        <v>-10.37750636</v>
      </c>
      <c r="T19" s="9">
        <v>-20.138336279999997</v>
      </c>
      <c r="U19" s="9">
        <v>-19.51456001</v>
      </c>
      <c r="V19" s="9">
        <v>-18.404707349999999</v>
      </c>
      <c r="W19" s="9">
        <v>-24.271699469999998</v>
      </c>
      <c r="X19" s="9">
        <v>24.603435990000001</v>
      </c>
      <c r="Y19" s="9">
        <v>-24.868095619999998</v>
      </c>
      <c r="Z19" s="9">
        <v>-17.507565499999998</v>
      </c>
      <c r="AA19" s="9">
        <v>-23.21371285</v>
      </c>
      <c r="AB19" s="9">
        <f>+-32.56690244-AB42</f>
        <v>-31.166902440000001</v>
      </c>
      <c r="AC19" s="9">
        <f>+-20.02777423-AC42</f>
        <v>-22.319179689999999</v>
      </c>
      <c r="AD19" s="9">
        <v>-20.05861646</v>
      </c>
    </row>
    <row r="20" spans="1:30" ht="5.25" customHeight="1" x14ac:dyDescent="0.3">
      <c r="A20" s="1">
        <v>15</v>
      </c>
      <c r="E20" s="42"/>
    </row>
    <row r="21" spans="1:30" x14ac:dyDescent="0.3">
      <c r="A21" s="1">
        <v>16</v>
      </c>
      <c r="B21" s="3" t="s">
        <v>26</v>
      </c>
      <c r="C21" s="11">
        <f t="shared" si="0"/>
        <v>48.131741559999966</v>
      </c>
      <c r="D21" s="11">
        <f t="shared" si="1"/>
        <v>61.205108160000037</v>
      </c>
      <c r="E21" s="43">
        <f>D21/C21-1</f>
        <v>0.27161632170951266</v>
      </c>
      <c r="H21" s="3" t="s">
        <v>26</v>
      </c>
      <c r="I21" s="18">
        <v>51.536401250000011</v>
      </c>
      <c r="J21" s="18">
        <v>71.575583770000009</v>
      </c>
      <c r="K21" s="18">
        <v>18.204375799999987</v>
      </c>
      <c r="L21" s="18">
        <v>-81.287743809999995</v>
      </c>
      <c r="M21" s="18">
        <v>6.9694774900000382</v>
      </c>
      <c r="N21" s="18">
        <v>50.099561220000048</v>
      </c>
      <c r="O21" s="18">
        <v>75.71629907999997</v>
      </c>
      <c r="P21" s="18">
        <v>67.646938100000014</v>
      </c>
      <c r="Q21" s="18">
        <v>68.193468420000002</v>
      </c>
      <c r="R21" s="18">
        <v>52.127087689999961</v>
      </c>
      <c r="S21" s="18">
        <v>30.330783369999999</v>
      </c>
      <c r="T21" s="18">
        <v>46.664837869999964</v>
      </c>
      <c r="U21" s="18">
        <v>52.731249969999951</v>
      </c>
      <c r="V21" s="18">
        <v>79.445128930000024</v>
      </c>
      <c r="W21" s="18">
        <v>70.00171270999995</v>
      </c>
      <c r="X21" s="18">
        <v>73.361478960000056</v>
      </c>
      <c r="Y21" s="18">
        <v>65.876825310000001</v>
      </c>
      <c r="Z21" s="18">
        <v>48.131741559999966</v>
      </c>
      <c r="AA21" s="18">
        <v>59.815981430000001</v>
      </c>
      <c r="AB21" s="18">
        <f>67.3736466-AB44</f>
        <v>65.539672969999998</v>
      </c>
      <c r="AC21" s="18">
        <f>+AC17+AC19</f>
        <v>62.251960839999995</v>
      </c>
      <c r="AD21" s="18">
        <f>+AD17+AD19</f>
        <v>61.205108160000037</v>
      </c>
    </row>
    <row r="22" spans="1:30" ht="5.25" customHeight="1" x14ac:dyDescent="0.3">
      <c r="A22" s="1">
        <v>17</v>
      </c>
      <c r="E22" s="42"/>
    </row>
    <row r="23" spans="1:30" x14ac:dyDescent="0.3">
      <c r="A23" s="1">
        <v>18</v>
      </c>
      <c r="B23" s="5" t="s">
        <v>27</v>
      </c>
      <c r="C23" s="9">
        <f t="shared" si="0"/>
        <v>46.496960739999999</v>
      </c>
      <c r="D23" s="9">
        <f t="shared" si="1"/>
        <v>61.31662017</v>
      </c>
      <c r="E23" s="39">
        <f>+D23/C23-1</f>
        <v>0.31872318521780452</v>
      </c>
      <c r="H23" s="5" t="s">
        <v>27</v>
      </c>
      <c r="I23" s="9">
        <v>51.536401250000011</v>
      </c>
      <c r="J23" s="9">
        <v>71.575583770000009</v>
      </c>
      <c r="K23" s="9">
        <v>18.204375799999987</v>
      </c>
      <c r="L23" s="9">
        <v>-81.287743809999995</v>
      </c>
      <c r="M23" s="9">
        <v>6.9694774900000382</v>
      </c>
      <c r="N23" s="9">
        <v>50.099561220000048</v>
      </c>
      <c r="O23" s="9">
        <v>75.71629907999997</v>
      </c>
      <c r="P23" s="9">
        <v>71.02076169</v>
      </c>
      <c r="Q23" s="9">
        <v>72.197047319999996</v>
      </c>
      <c r="R23" s="9">
        <v>51.513318689999998</v>
      </c>
      <c r="S23" s="9">
        <v>29.363564220000001</v>
      </c>
      <c r="T23" s="9">
        <v>48.355100460000003</v>
      </c>
      <c r="U23" s="9">
        <v>56.902500879999998</v>
      </c>
      <c r="V23" s="9">
        <v>67.315819309999995</v>
      </c>
      <c r="W23" s="9">
        <v>70.133168249999997</v>
      </c>
      <c r="X23" s="9">
        <f>76.6-X46</f>
        <v>70.420169979999997</v>
      </c>
      <c r="Y23" s="9">
        <v>65.157573959999993</v>
      </c>
      <c r="Z23" s="9">
        <v>46.496960739999999</v>
      </c>
      <c r="AA23" s="9">
        <v>56.817234620000008</v>
      </c>
      <c r="AB23" s="9">
        <f>71.9-AB46</f>
        <v>70.066026370000003</v>
      </c>
      <c r="AC23" s="9">
        <v>64.403329459999995</v>
      </c>
      <c r="AD23" s="9">
        <v>61.31662017</v>
      </c>
    </row>
    <row r="28" spans="1:30" ht="23.25" x14ac:dyDescent="0.35">
      <c r="B28" s="13" t="s">
        <v>36</v>
      </c>
      <c r="C28" s="14"/>
      <c r="D28" s="14"/>
      <c r="E28" s="14"/>
      <c r="H28" s="13" t="s">
        <v>36</v>
      </c>
      <c r="I28" s="14"/>
      <c r="J28" s="14"/>
      <c r="K28" s="14"/>
      <c r="L28" s="14"/>
      <c r="M28" s="14"/>
      <c r="N28" s="14"/>
      <c r="O28" s="14"/>
      <c r="P28" s="14"/>
      <c r="Q28" s="14"/>
      <c r="R28" s="14"/>
      <c r="S28" s="14"/>
      <c r="T28" s="14"/>
      <c r="U28" s="14"/>
      <c r="V28" s="14"/>
      <c r="W28" s="14"/>
      <c r="X28" s="14"/>
      <c r="Y28" s="14"/>
      <c r="Z28" s="14"/>
      <c r="AA28" s="14"/>
      <c r="AB28" s="14"/>
      <c r="AC28" s="14"/>
      <c r="AD28" s="14"/>
    </row>
    <row r="29" spans="1:30" ht="5.25" customHeight="1" x14ac:dyDescent="0.3"/>
    <row r="30" spans="1:30" ht="15.75" customHeight="1" x14ac:dyDescent="0.3">
      <c r="A30" s="1">
        <v>1</v>
      </c>
      <c r="B30" s="3" t="s">
        <v>38</v>
      </c>
      <c r="C30" s="84" t="s">
        <v>110</v>
      </c>
      <c r="D30" s="84" t="s">
        <v>118</v>
      </c>
      <c r="E30" s="84" t="s">
        <v>29</v>
      </c>
      <c r="H30" s="3" t="s">
        <v>38</v>
      </c>
      <c r="I30" s="84" t="s">
        <v>55</v>
      </c>
      <c r="J30" s="84" t="s">
        <v>56</v>
      </c>
      <c r="K30" s="84" t="s">
        <v>57</v>
      </c>
      <c r="L30" s="84" t="s">
        <v>58</v>
      </c>
      <c r="M30" s="84" t="s">
        <v>59</v>
      </c>
      <c r="N30" s="84" t="s">
        <v>60</v>
      </c>
      <c r="O30" s="84" t="s">
        <v>61</v>
      </c>
      <c r="P30" s="84" t="s">
        <v>62</v>
      </c>
      <c r="Q30" s="84" t="s">
        <v>54</v>
      </c>
      <c r="R30" s="84" t="s">
        <v>53</v>
      </c>
      <c r="S30" s="84" t="s">
        <v>52</v>
      </c>
      <c r="T30" s="84" t="s">
        <v>51</v>
      </c>
      <c r="U30" s="84" t="s">
        <v>50</v>
      </c>
      <c r="V30" s="84" t="s">
        <v>49</v>
      </c>
      <c r="W30" s="84" t="s">
        <v>48</v>
      </c>
      <c r="X30" s="84" t="s">
        <v>99</v>
      </c>
      <c r="Y30" s="84" t="s">
        <v>102</v>
      </c>
      <c r="Z30" s="84" t="s">
        <v>110</v>
      </c>
      <c r="AA30" s="84" t="s">
        <v>111</v>
      </c>
      <c r="AB30" s="84" t="s">
        <v>112</v>
      </c>
      <c r="AC30" s="84" t="s">
        <v>114</v>
      </c>
      <c r="AD30" s="84" t="s">
        <v>118</v>
      </c>
    </row>
    <row r="31" spans="1:30" x14ac:dyDescent="0.3">
      <c r="A31" s="1">
        <v>2</v>
      </c>
      <c r="B31" s="3" t="s">
        <v>0</v>
      </c>
      <c r="C31" s="84"/>
      <c r="D31" s="84"/>
      <c r="E31" s="84"/>
      <c r="H31" s="3" t="s">
        <v>0</v>
      </c>
      <c r="I31" s="84"/>
      <c r="J31" s="84"/>
      <c r="K31" s="84"/>
      <c r="L31" s="84"/>
      <c r="M31" s="84"/>
      <c r="N31" s="84"/>
      <c r="O31" s="84"/>
      <c r="P31" s="84"/>
      <c r="Q31" s="84"/>
      <c r="R31" s="84"/>
      <c r="S31" s="84"/>
      <c r="T31" s="84"/>
      <c r="U31" s="84"/>
      <c r="V31" s="84"/>
      <c r="W31" s="84"/>
      <c r="X31" s="84"/>
      <c r="Y31" s="84"/>
      <c r="Z31" s="84"/>
      <c r="AA31" s="84"/>
      <c r="AB31" s="84"/>
      <c r="AC31" s="84"/>
      <c r="AD31" s="84"/>
    </row>
    <row r="32" spans="1:30" ht="5.25" customHeight="1" x14ac:dyDescent="0.3">
      <c r="A32" s="1">
        <v>3</v>
      </c>
    </row>
    <row r="33" spans="1:30" x14ac:dyDescent="0.3">
      <c r="A33" s="1">
        <v>4</v>
      </c>
      <c r="B33" s="5" t="s">
        <v>18</v>
      </c>
      <c r="C33" s="9">
        <f>+HLOOKUP($C$30,$H$30:$AJ$46,A33,FALSE)</f>
        <v>0.21593708</v>
      </c>
      <c r="D33" s="9">
        <f>+HLOOKUP($D$30,$H$30:$AJ$46,A33,FALSE)</f>
        <v>7.2432910000000003E-2</v>
      </c>
      <c r="E33" s="39">
        <f>+D33/C33-1</f>
        <v>-0.66456474265559207</v>
      </c>
      <c r="H33" s="5" t="s">
        <v>18</v>
      </c>
      <c r="I33" s="19"/>
      <c r="J33" s="19"/>
      <c r="K33" s="19"/>
      <c r="L33" s="19"/>
      <c r="M33" s="19"/>
      <c r="N33" s="19"/>
      <c r="O33" s="19"/>
      <c r="P33" s="19"/>
      <c r="Q33" s="9">
        <v>0.16734481000000001</v>
      </c>
      <c r="R33" s="9">
        <v>0.10720837999999999</v>
      </c>
      <c r="S33" s="9">
        <v>0.13487674000000002</v>
      </c>
      <c r="T33" s="9">
        <v>0.16597401000000001</v>
      </c>
      <c r="U33" s="9">
        <v>0.12006236000000001</v>
      </c>
      <c r="V33" s="9">
        <v>0.15038306000000001</v>
      </c>
      <c r="W33" s="9">
        <v>0.15893979</v>
      </c>
      <c r="X33" s="9">
        <v>0.20325471000000001</v>
      </c>
      <c r="Y33" s="9">
        <v>0.22173541999999999</v>
      </c>
      <c r="Z33" s="9">
        <v>0.21593708</v>
      </c>
      <c r="AA33" s="9">
        <v>0.29301841000000001</v>
      </c>
      <c r="AB33" s="9">
        <v>0.3</v>
      </c>
      <c r="AC33" s="9">
        <v>0.14140221000000003</v>
      </c>
      <c r="AD33" s="9">
        <v>7.2432910000000003E-2</v>
      </c>
    </row>
    <row r="34" spans="1:30" x14ac:dyDescent="0.3">
      <c r="A34" s="1">
        <v>5</v>
      </c>
      <c r="B34" s="5" t="s">
        <v>19</v>
      </c>
      <c r="C34" s="9">
        <f t="shared" ref="C34:C46" si="5">+HLOOKUP($C$30,$H$30:$AJ$46,A34,FALSE)</f>
        <v>-4.6873543600000005</v>
      </c>
      <c r="D34" s="9">
        <f t="shared" ref="D34:D46" si="6">+HLOOKUP($D$30,$H$30:$AJ$46,A34,FALSE)</f>
        <v>-8.8851827300000004</v>
      </c>
      <c r="E34" s="39">
        <f t="shared" ref="E34:E36" si="7">+D34/C34-1</f>
        <v>0.89556454400430674</v>
      </c>
      <c r="H34" s="5" t="s">
        <v>19</v>
      </c>
      <c r="I34" s="19"/>
      <c r="J34" s="19"/>
      <c r="K34" s="19"/>
      <c r="L34" s="19"/>
      <c r="M34" s="19"/>
      <c r="N34" s="19"/>
      <c r="O34" s="19"/>
      <c r="P34" s="19"/>
      <c r="Q34" s="9">
        <v>-5.4290698400000004</v>
      </c>
      <c r="R34" s="9">
        <v>-2.6430212500000003</v>
      </c>
      <c r="S34" s="9">
        <v>-3.1599592999999997</v>
      </c>
      <c r="T34" s="9">
        <v>-3.4266343500000005</v>
      </c>
      <c r="U34" s="9">
        <v>-3.1524754499999998</v>
      </c>
      <c r="V34" s="9">
        <v>-3.23840606</v>
      </c>
      <c r="W34" s="9">
        <v>-3.7317871299999998</v>
      </c>
      <c r="X34" s="9">
        <v>-4.6476371400000005</v>
      </c>
      <c r="Y34" s="9">
        <v>-4.4800314999999999</v>
      </c>
      <c r="Z34" s="9">
        <v>-4.6873543600000005</v>
      </c>
      <c r="AA34" s="9">
        <v>-4.5787013100000005</v>
      </c>
      <c r="AB34" s="9">
        <v>-4.5999999999999996</v>
      </c>
      <c r="AC34" s="9">
        <v>-4.5996143200000006</v>
      </c>
      <c r="AD34" s="9">
        <v>-8.8851827300000004</v>
      </c>
    </row>
    <row r="35" spans="1:30" x14ac:dyDescent="0.3">
      <c r="A35" s="1">
        <v>6</v>
      </c>
      <c r="B35" s="5" t="s">
        <v>20</v>
      </c>
      <c r="C35" s="9">
        <f t="shared" si="5"/>
        <v>-0.64872458000000011</v>
      </c>
      <c r="D35" s="9">
        <f t="shared" si="6"/>
        <v>0.29622432000000004</v>
      </c>
      <c r="E35" s="66">
        <v>0</v>
      </c>
      <c r="H35" s="5" t="s">
        <v>20</v>
      </c>
      <c r="I35" s="19"/>
      <c r="J35" s="19"/>
      <c r="K35" s="19"/>
      <c r="L35" s="19"/>
      <c r="M35" s="19"/>
      <c r="N35" s="19"/>
      <c r="O35" s="19"/>
      <c r="P35" s="19"/>
      <c r="Q35" s="9">
        <v>1.37017937</v>
      </c>
      <c r="R35" s="9">
        <v>5.1786280000000143E-2</v>
      </c>
      <c r="S35" s="9">
        <v>-0.63739566000000003</v>
      </c>
      <c r="T35" s="9">
        <v>0.54193233000000018</v>
      </c>
      <c r="U35" s="9">
        <v>1.7152532300000001</v>
      </c>
      <c r="V35" s="9">
        <v>-0.15405724000000004</v>
      </c>
      <c r="W35" s="9">
        <v>-4.9148570000000009E-2</v>
      </c>
      <c r="X35" s="9">
        <v>0.7605646800000001</v>
      </c>
      <c r="Y35" s="9">
        <v>-0.19138833000000002</v>
      </c>
      <c r="Z35" s="9">
        <v>-0.64872458000000011</v>
      </c>
      <c r="AA35" s="9">
        <v>-0.36723388000000001</v>
      </c>
      <c r="AB35" s="9">
        <v>-0.7</v>
      </c>
      <c r="AC35" s="9">
        <v>0.74991217999999993</v>
      </c>
      <c r="AD35" s="9">
        <v>0.29622432000000004</v>
      </c>
    </row>
    <row r="36" spans="1:30" x14ac:dyDescent="0.3">
      <c r="A36" s="1">
        <v>7</v>
      </c>
      <c r="B36" s="5" t="s">
        <v>22</v>
      </c>
      <c r="C36" s="9">
        <f t="shared" si="5"/>
        <v>-0.42020362000000006</v>
      </c>
      <c r="D36" s="9">
        <f t="shared" si="6"/>
        <v>-0.87173263000000001</v>
      </c>
      <c r="E36" s="39">
        <f t="shared" si="7"/>
        <v>1.0745481202660745</v>
      </c>
      <c r="H36" s="5" t="s">
        <v>22</v>
      </c>
      <c r="I36" s="19"/>
      <c r="J36" s="19"/>
      <c r="K36" s="19"/>
      <c r="L36" s="19"/>
      <c r="M36" s="19"/>
      <c r="N36" s="19"/>
      <c r="O36" s="19"/>
      <c r="P36" s="19"/>
      <c r="Q36" s="9">
        <v>8.1903610000000002E-2</v>
      </c>
      <c r="R36" s="9">
        <v>-0.66449632999999997</v>
      </c>
      <c r="S36" s="9">
        <v>-0.93240374000000004</v>
      </c>
      <c r="T36" s="9">
        <v>-2.4909673299999997</v>
      </c>
      <c r="U36" s="9">
        <v>-9.0029509999999993E-2</v>
      </c>
      <c r="V36" s="9">
        <v>-0.27538590000000007</v>
      </c>
      <c r="W36" s="9">
        <v>-0.86470300999999994</v>
      </c>
      <c r="X36" s="9">
        <v>1.29653671</v>
      </c>
      <c r="Y36" s="9">
        <v>-1.9960490000000004E-2</v>
      </c>
      <c r="Z36" s="9">
        <v>-0.42020362000000006</v>
      </c>
      <c r="AA36" s="9">
        <v>-0.77467500999999994</v>
      </c>
      <c r="AB36" s="9">
        <v>-0.3</v>
      </c>
      <c r="AC36" s="9">
        <v>1.4406092899999998</v>
      </c>
      <c r="AD36" s="9">
        <v>-0.87173263000000001</v>
      </c>
    </row>
    <row r="37" spans="1:30" ht="5.25" customHeight="1" x14ac:dyDescent="0.3">
      <c r="A37" s="1">
        <v>8</v>
      </c>
      <c r="E37" s="42"/>
      <c r="S37" s="16"/>
    </row>
    <row r="38" spans="1:30" x14ac:dyDescent="0.3">
      <c r="A38" s="1">
        <v>9</v>
      </c>
      <c r="B38" s="6" t="s">
        <v>23</v>
      </c>
      <c r="C38" s="10">
        <f t="shared" si="5"/>
        <v>-5.54034548</v>
      </c>
      <c r="D38" s="10">
        <f t="shared" si="6"/>
        <v>-9.3882581300000005</v>
      </c>
      <c r="E38" s="41">
        <f>D38/C38-1</f>
        <v>0.69452575906872882</v>
      </c>
      <c r="H38" s="6" t="s">
        <v>23</v>
      </c>
      <c r="I38" s="20"/>
      <c r="J38" s="20"/>
      <c r="K38" s="20"/>
      <c r="L38" s="20"/>
      <c r="M38" s="20"/>
      <c r="N38" s="20"/>
      <c r="O38" s="20"/>
      <c r="P38" s="20"/>
      <c r="Q38" s="10">
        <v>-3.8096420500000003</v>
      </c>
      <c r="R38" s="10">
        <v>-3.1485229200000004</v>
      </c>
      <c r="S38" s="10">
        <v>-4.5948819599999995</v>
      </c>
      <c r="T38" s="10">
        <v>-5.2096953399999997</v>
      </c>
      <c r="U38" s="10">
        <v>-1.4071893699999998</v>
      </c>
      <c r="V38" s="10">
        <v>-3.5174661399999998</v>
      </c>
      <c r="W38" s="10">
        <v>-4.4866989200000003</v>
      </c>
      <c r="X38" s="10">
        <v>-2.3872810400000004</v>
      </c>
      <c r="Y38" s="10">
        <f>SUM(Y33:Y36)</f>
        <v>-4.4696448999999996</v>
      </c>
      <c r="Z38" s="10">
        <f>SUM(Z33:Z36)</f>
        <v>-5.54034548</v>
      </c>
      <c r="AA38" s="10">
        <f>SUM(AA33:AA36)</f>
        <v>-5.4275917900000001</v>
      </c>
      <c r="AB38" s="10">
        <f>+SUM(AB33:AB36)</f>
        <v>-5.3</v>
      </c>
      <c r="AC38" s="10">
        <f>+SUM(AC33:AC36)</f>
        <v>-2.267690640000001</v>
      </c>
      <c r="AD38" s="10">
        <f>+SUM(AD33:AD36)</f>
        <v>-9.3882581300000005</v>
      </c>
    </row>
    <row r="39" spans="1:30" ht="5.25" customHeight="1" x14ac:dyDescent="0.3">
      <c r="A39" s="1">
        <v>10</v>
      </c>
      <c r="E39" s="42"/>
      <c r="S39" s="16"/>
    </row>
    <row r="40" spans="1:30" x14ac:dyDescent="0.3">
      <c r="A40" s="1">
        <v>11</v>
      </c>
      <c r="B40" s="6" t="s">
        <v>24</v>
      </c>
      <c r="C40" s="10">
        <f t="shared" si="5"/>
        <v>-1.4643349499999951</v>
      </c>
      <c r="D40" s="10">
        <f t="shared" si="6"/>
        <v>-0.85428449999999678</v>
      </c>
      <c r="E40" s="57" t="s">
        <v>69</v>
      </c>
      <c r="H40" s="6" t="s">
        <v>24</v>
      </c>
      <c r="I40" s="20"/>
      <c r="J40" s="20"/>
      <c r="K40" s="20"/>
      <c r="L40" s="20"/>
      <c r="M40" s="20"/>
      <c r="N40" s="20"/>
      <c r="O40" s="20"/>
      <c r="P40" s="20"/>
      <c r="Q40" s="10">
        <v>4.9281214299999956</v>
      </c>
      <c r="R40" s="10">
        <v>-1.9760049700000009</v>
      </c>
      <c r="S40" s="17">
        <v>3.5452988599999982</v>
      </c>
      <c r="T40" s="10">
        <v>0.89048269000000602</v>
      </c>
      <c r="U40" s="10">
        <v>1.9710638200000044</v>
      </c>
      <c r="V40" s="10">
        <v>-0.63885456000000218</v>
      </c>
      <c r="W40" s="10">
        <v>1.1608619299999976</v>
      </c>
      <c r="X40" s="10">
        <v>7.0620773800000043</v>
      </c>
      <c r="Y40" s="10">
        <v>-2.6982926100000091</v>
      </c>
      <c r="Z40" s="10">
        <v>-1.4643349499999951</v>
      </c>
      <c r="AA40" s="10">
        <v>-6.3483848100000015</v>
      </c>
      <c r="AB40" s="10">
        <f>+'Operating Income'!D84+AB38</f>
        <v>3.2339736300000004</v>
      </c>
      <c r="AC40" s="10">
        <v>1.8706096800000052</v>
      </c>
      <c r="AD40" s="10">
        <v>-0.85428449999999678</v>
      </c>
    </row>
    <row r="41" spans="1:30" ht="5.25" customHeight="1" x14ac:dyDescent="0.3">
      <c r="A41" s="1">
        <v>12</v>
      </c>
      <c r="E41" s="42"/>
      <c r="S41" s="16"/>
    </row>
    <row r="42" spans="1:30" x14ac:dyDescent="0.3">
      <c r="A42" s="1">
        <v>13</v>
      </c>
      <c r="B42" s="5" t="s">
        <v>25</v>
      </c>
      <c r="C42" s="9">
        <f t="shared" si="5"/>
        <v>-1.9025937399999999</v>
      </c>
      <c r="D42" s="9">
        <f t="shared" si="6"/>
        <v>1.02432743</v>
      </c>
      <c r="E42" s="39">
        <f t="shared" ref="E42" si="8">+D42/C42-1</f>
        <v>-1.5383847368277372</v>
      </c>
      <c r="H42" s="5" t="s">
        <v>25</v>
      </c>
      <c r="I42" s="19"/>
      <c r="J42" s="19"/>
      <c r="K42" s="19"/>
      <c r="L42" s="19"/>
      <c r="M42" s="19"/>
      <c r="N42" s="19"/>
      <c r="O42" s="19"/>
      <c r="P42" s="19"/>
      <c r="Q42" s="9">
        <v>2.9217945599999999</v>
      </c>
      <c r="R42" s="9">
        <v>1.28435225</v>
      </c>
      <c r="S42" s="9">
        <v>-5.4604279699999996</v>
      </c>
      <c r="T42" s="9">
        <v>1.2906353500000001</v>
      </c>
      <c r="U42" s="9">
        <v>5.8195076899999991</v>
      </c>
      <c r="V42" s="9">
        <v>-0.47814150999999994</v>
      </c>
      <c r="W42" s="9">
        <v>-0.95178185999999987</v>
      </c>
      <c r="X42" s="9">
        <v>-0.88224735999999992</v>
      </c>
      <c r="Y42" s="9">
        <v>1.2285207600000001</v>
      </c>
      <c r="Z42" s="9">
        <v>-1.9025937399999999</v>
      </c>
      <c r="AA42" s="9">
        <v>0.41217198999999999</v>
      </c>
      <c r="AB42" s="9">
        <v>-1.4</v>
      </c>
      <c r="AC42" s="9">
        <v>2.2914054600000004</v>
      </c>
      <c r="AD42" s="9">
        <v>1.02432743</v>
      </c>
    </row>
    <row r="43" spans="1:30" ht="5.25" customHeight="1" x14ac:dyDescent="0.3">
      <c r="A43" s="1">
        <v>14</v>
      </c>
      <c r="E43" s="42"/>
      <c r="S43" s="16"/>
    </row>
    <row r="44" spans="1:30" x14ac:dyDescent="0.3">
      <c r="A44" s="1">
        <v>15</v>
      </c>
      <c r="B44" s="3" t="s">
        <v>26</v>
      </c>
      <c r="C44" s="55">
        <f t="shared" si="5"/>
        <v>-3.3669286899999951</v>
      </c>
      <c r="D44" s="55">
        <f t="shared" si="6"/>
        <v>0.17004293000000326</v>
      </c>
      <c r="E44" s="56" t="s">
        <v>69</v>
      </c>
      <c r="H44" s="3" t="s">
        <v>26</v>
      </c>
      <c r="I44" s="11"/>
      <c r="J44" s="11"/>
      <c r="K44" s="11"/>
      <c r="L44" s="11"/>
      <c r="M44" s="11"/>
      <c r="N44" s="11"/>
      <c r="O44" s="11"/>
      <c r="P44" s="11"/>
      <c r="Q44" s="11">
        <v>7.5692857599999961</v>
      </c>
      <c r="R44" s="18">
        <v>-0.41102250000000096</v>
      </c>
      <c r="S44" s="18">
        <v>-1.4873732300000011</v>
      </c>
      <c r="T44" s="18">
        <v>1.7533981700000059</v>
      </c>
      <c r="U44" s="18">
        <v>7.790571510000003</v>
      </c>
      <c r="V44" s="18">
        <v>-1.1169960700000021</v>
      </c>
      <c r="W44" s="18">
        <v>0.20908006999999773</v>
      </c>
      <c r="X44" s="18">
        <v>6.1798300200000043</v>
      </c>
      <c r="Y44" s="18">
        <v>-1.4697718500000088</v>
      </c>
      <c r="Z44" s="18">
        <v>-3.3669286899999951</v>
      </c>
      <c r="AA44" s="18">
        <v>-5.9362128200000015</v>
      </c>
      <c r="AB44" s="18">
        <f>+AB40+AB42</f>
        <v>1.8339736300000005</v>
      </c>
      <c r="AC44" s="18">
        <f t="shared" ref="AC44:AD44" si="9">+AC40+AC42</f>
        <v>4.1620151400000056</v>
      </c>
      <c r="AD44" s="18">
        <f t="shared" si="9"/>
        <v>0.17004293000000326</v>
      </c>
    </row>
    <row r="45" spans="1:30" ht="5.25" customHeight="1" x14ac:dyDescent="0.3">
      <c r="A45" s="1">
        <v>16</v>
      </c>
      <c r="E45" s="42"/>
      <c r="S45" s="16"/>
    </row>
    <row r="46" spans="1:30" x14ac:dyDescent="0.3">
      <c r="A46" s="1">
        <v>17</v>
      </c>
      <c r="B46" s="5" t="s">
        <v>27</v>
      </c>
      <c r="C46" s="9">
        <f t="shared" si="5"/>
        <v>-3.3669286899999951</v>
      </c>
      <c r="D46" s="9">
        <f t="shared" si="6"/>
        <v>0.17004293000000326</v>
      </c>
      <c r="E46" s="54" t="s">
        <v>69</v>
      </c>
      <c r="H46" s="5" t="s">
        <v>27</v>
      </c>
      <c r="I46" s="19"/>
      <c r="J46" s="19"/>
      <c r="K46" s="19"/>
      <c r="L46" s="19"/>
      <c r="M46" s="19"/>
      <c r="N46" s="19"/>
      <c r="O46" s="19"/>
      <c r="P46" s="19"/>
      <c r="Q46" s="9">
        <v>7.5692857599999961</v>
      </c>
      <c r="R46" s="9">
        <v>-0.41102250000000096</v>
      </c>
      <c r="S46" s="9">
        <v>-1.4873732300000011</v>
      </c>
      <c r="T46" s="9">
        <v>1.7533981700000059</v>
      </c>
      <c r="U46" s="9">
        <v>7.790571510000003</v>
      </c>
      <c r="V46" s="9">
        <v>-1.1169960700000021</v>
      </c>
      <c r="W46" s="9">
        <v>0.20908006999999773</v>
      </c>
      <c r="X46" s="9">
        <v>6.1798300200000043</v>
      </c>
      <c r="Y46" s="9">
        <v>-1.4697718500000088</v>
      </c>
      <c r="Z46" s="9">
        <v>-3.3669286899999951</v>
      </c>
      <c r="AA46" s="9">
        <v>-5.9362128200000015</v>
      </c>
      <c r="AB46" s="9">
        <f>+AB44</f>
        <v>1.8339736300000005</v>
      </c>
      <c r="AC46" s="9">
        <f>+AC44</f>
        <v>4.1620151400000056</v>
      </c>
      <c r="AD46" s="9">
        <f>+AD44</f>
        <v>0.17004293000000326</v>
      </c>
    </row>
    <row r="49" spans="2:6" ht="107.45" customHeight="1" x14ac:dyDescent="0.3">
      <c r="B49" s="85" t="s">
        <v>122</v>
      </c>
      <c r="C49" s="85"/>
      <c r="D49" s="85"/>
      <c r="E49" s="85"/>
    </row>
    <row r="50" spans="2:6" x14ac:dyDescent="0.3">
      <c r="F50" s="1" t="s">
        <v>120</v>
      </c>
    </row>
  </sheetData>
  <mergeCells count="51">
    <mergeCell ref="B49:E49"/>
    <mergeCell ref="I30:I31"/>
    <mergeCell ref="J30:J31"/>
    <mergeCell ref="S30:S31"/>
    <mergeCell ref="T30:T31"/>
    <mergeCell ref="O30:O31"/>
    <mergeCell ref="P30:P31"/>
    <mergeCell ref="P6:P7"/>
    <mergeCell ref="O6:O7"/>
    <mergeCell ref="K30:K31"/>
    <mergeCell ref="L30:L31"/>
    <mergeCell ref="M30:M31"/>
    <mergeCell ref="N6:N7"/>
    <mergeCell ref="N30:N31"/>
    <mergeCell ref="I6:I7"/>
    <mergeCell ref="J6:J7"/>
    <mergeCell ref="K6:K7"/>
    <mergeCell ref="L6:L7"/>
    <mergeCell ref="M6:M7"/>
    <mergeCell ref="C6:C7"/>
    <mergeCell ref="D6:D7"/>
    <mergeCell ref="E6:E7"/>
    <mergeCell ref="C30:C31"/>
    <mergeCell ref="D30:D31"/>
    <mergeCell ref="E30:E31"/>
    <mergeCell ref="X30:X31"/>
    <mergeCell ref="V6:V7"/>
    <mergeCell ref="Q6:Q7"/>
    <mergeCell ref="R6:R7"/>
    <mergeCell ref="S6:S7"/>
    <mergeCell ref="T6:T7"/>
    <mergeCell ref="U6:U7"/>
    <mergeCell ref="V30:V31"/>
    <mergeCell ref="W30:W31"/>
    <mergeCell ref="U30:U31"/>
    <mergeCell ref="AD6:AD7"/>
    <mergeCell ref="AD30:AD31"/>
    <mergeCell ref="W6:W7"/>
    <mergeCell ref="Q30:Q31"/>
    <mergeCell ref="R30:R31"/>
    <mergeCell ref="AC6:AC7"/>
    <mergeCell ref="AC30:AC31"/>
    <mergeCell ref="AB6:AB7"/>
    <mergeCell ref="AB30:AB31"/>
    <mergeCell ref="Z6:Z7"/>
    <mergeCell ref="Z30:Z31"/>
    <mergeCell ref="Y6:Y7"/>
    <mergeCell ref="Y30:Y31"/>
    <mergeCell ref="AA6:AA7"/>
    <mergeCell ref="AA30:AA31"/>
    <mergeCell ref="X6:X7"/>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4:R37"/>
  <sheetViews>
    <sheetView topLeftCell="B1" zoomScale="90" zoomScaleNormal="90" workbookViewId="0">
      <selection activeCell="C9" sqref="C9"/>
    </sheetView>
  </sheetViews>
  <sheetFormatPr baseColWidth="10" defaultColWidth="11.42578125" defaultRowHeight="15" x14ac:dyDescent="0.3"/>
  <cols>
    <col min="1" max="1" width="0" style="1" hidden="1" customWidth="1"/>
    <col min="2" max="2" width="51" style="1" customWidth="1"/>
    <col min="3" max="7" width="11.42578125" style="1"/>
    <col min="8" max="8" width="38.7109375" style="1" customWidth="1"/>
    <col min="9" max="10" width="11.42578125" style="1" customWidth="1"/>
    <col min="11" max="16384" width="11.42578125" style="1"/>
  </cols>
  <sheetData>
    <row r="4" spans="1:18" ht="23.25" x14ac:dyDescent="0.35">
      <c r="B4" s="13" t="s">
        <v>30</v>
      </c>
      <c r="C4" s="14"/>
      <c r="D4" s="14"/>
      <c r="E4" s="14"/>
      <c r="H4" s="13" t="s">
        <v>30</v>
      </c>
      <c r="I4" s="14"/>
      <c r="J4" s="14"/>
      <c r="K4" s="14"/>
      <c r="L4" s="14"/>
      <c r="M4" s="14"/>
      <c r="N4" s="14"/>
      <c r="O4" s="14"/>
      <c r="P4" s="14"/>
      <c r="Q4" s="14"/>
      <c r="R4" s="14"/>
    </row>
    <row r="5" spans="1:18" ht="7.5" customHeight="1" x14ac:dyDescent="0.3"/>
    <row r="6" spans="1:18" ht="15.75" customHeight="1" x14ac:dyDescent="0.3">
      <c r="A6" s="1">
        <v>1</v>
      </c>
      <c r="B6" s="3" t="s">
        <v>39</v>
      </c>
      <c r="C6" s="86" t="s">
        <v>112</v>
      </c>
      <c r="D6" s="86" t="s">
        <v>118</v>
      </c>
      <c r="E6" s="84" t="s">
        <v>29</v>
      </c>
      <c r="H6" s="3" t="s">
        <v>39</v>
      </c>
      <c r="I6" s="84" t="s">
        <v>50</v>
      </c>
      <c r="J6" s="84" t="s">
        <v>49</v>
      </c>
      <c r="K6" s="84" t="s">
        <v>48</v>
      </c>
      <c r="L6" s="84" t="s">
        <v>99</v>
      </c>
      <c r="M6" s="84" t="s">
        <v>102</v>
      </c>
      <c r="N6" s="84" t="s">
        <v>110</v>
      </c>
      <c r="O6" s="84" t="s">
        <v>111</v>
      </c>
      <c r="P6" s="84" t="s">
        <v>112</v>
      </c>
      <c r="Q6" s="84" t="s">
        <v>114</v>
      </c>
      <c r="R6" s="84" t="s">
        <v>118</v>
      </c>
    </row>
    <row r="7" spans="1:18" x14ac:dyDescent="0.3">
      <c r="A7" s="1">
        <v>2</v>
      </c>
      <c r="B7" s="3" t="s">
        <v>0</v>
      </c>
      <c r="C7" s="86"/>
      <c r="D7" s="86"/>
      <c r="E7" s="84"/>
      <c r="H7" s="3" t="s">
        <v>0</v>
      </c>
      <c r="I7" s="84"/>
      <c r="J7" s="84"/>
      <c r="K7" s="84"/>
      <c r="L7" s="84"/>
      <c r="M7" s="84"/>
      <c r="N7" s="84"/>
      <c r="O7" s="84"/>
      <c r="P7" s="84"/>
      <c r="Q7" s="84"/>
      <c r="R7" s="84"/>
    </row>
    <row r="8" spans="1:18" ht="4.5" customHeight="1" x14ac:dyDescent="0.3">
      <c r="A8" s="1">
        <v>3</v>
      </c>
    </row>
    <row r="9" spans="1:18" x14ac:dyDescent="0.3">
      <c r="A9" s="1">
        <v>4</v>
      </c>
      <c r="B9" s="29" t="s">
        <v>40</v>
      </c>
      <c r="C9" s="15">
        <f>+HLOOKUP($C$6,$H$6:$X$18,A9,FALSE)</f>
        <v>1079.4268553100001</v>
      </c>
      <c r="D9" s="15">
        <f>+HLOOKUP($D$6,$H$6:$X$18,A9,FALSE)</f>
        <v>962.29794672999992</v>
      </c>
      <c r="E9" s="39">
        <f>D9/C9-1</f>
        <v>-0.10851027839803185</v>
      </c>
      <c r="H9" s="5" t="s">
        <v>40</v>
      </c>
      <c r="I9" s="15">
        <v>851.94598514999996</v>
      </c>
      <c r="J9" s="15">
        <v>877.85857165000004</v>
      </c>
      <c r="K9" s="15">
        <v>966.98446622000006</v>
      </c>
      <c r="L9" s="15">
        <v>1036.83880901</v>
      </c>
      <c r="M9" s="15">
        <v>1123.0161427500002</v>
      </c>
      <c r="N9" s="15">
        <v>906.10416333000012</v>
      </c>
      <c r="O9" s="15">
        <v>1018.89567078</v>
      </c>
      <c r="P9" s="15">
        <f>1151.26274554-P28</f>
        <v>1079.4268553100001</v>
      </c>
      <c r="Q9" s="15">
        <f>1215.75743257-Q28</f>
        <v>1149.0228043500001</v>
      </c>
      <c r="R9" s="15">
        <v>962.29794672999992</v>
      </c>
    </row>
    <row r="10" spans="1:18" x14ac:dyDescent="0.3">
      <c r="A10" s="1">
        <v>5</v>
      </c>
      <c r="B10" s="29" t="s">
        <v>41</v>
      </c>
      <c r="C10" s="15">
        <f t="shared" ref="C10:C18" si="0">+HLOOKUP($C$6,$H$6:$X$18,A10,FALSE)</f>
        <v>4914.9502672399994</v>
      </c>
      <c r="D10" s="15">
        <f t="shared" ref="D10:D18" si="1">+HLOOKUP($D$6,$H$6:$X$18,A10,FALSE)</f>
        <v>4856.1919675599984</v>
      </c>
      <c r="E10" s="39">
        <f>D10/C10-1</f>
        <v>-1.1955014086642457E-2</v>
      </c>
      <c r="H10" s="29" t="s">
        <v>41</v>
      </c>
      <c r="I10" s="15">
        <v>5111.9700011000004</v>
      </c>
      <c r="J10" s="15">
        <v>5118.2419994500015</v>
      </c>
      <c r="K10" s="15">
        <v>5083.0575229899996</v>
      </c>
      <c r="L10" s="15">
        <v>5039.0015552599998</v>
      </c>
      <c r="M10" s="15">
        <v>5033.1846888900009</v>
      </c>
      <c r="N10" s="15">
        <v>5004.2986579099997</v>
      </c>
      <c r="O10" s="15">
        <v>4986.2491683299995</v>
      </c>
      <c r="P10" s="15">
        <f>5627.08594679-P29</f>
        <v>4914.9502672399994</v>
      </c>
      <c r="Q10" s="15">
        <f>5634.71460311-Q29</f>
        <v>4900.3526078900004</v>
      </c>
      <c r="R10" s="15">
        <v>4856.1919675599984</v>
      </c>
    </row>
    <row r="11" spans="1:18" ht="5.25" customHeight="1" x14ac:dyDescent="0.3">
      <c r="A11" s="1">
        <v>6</v>
      </c>
      <c r="C11" s="16">
        <f t="shared" si="0"/>
        <v>0</v>
      </c>
      <c r="D11" s="16">
        <f t="shared" si="1"/>
        <v>0</v>
      </c>
      <c r="E11" s="44"/>
      <c r="I11" s="16"/>
      <c r="J11" s="16"/>
      <c r="K11" s="44"/>
      <c r="L11" s="44"/>
      <c r="M11" s="44"/>
      <c r="N11" s="44"/>
      <c r="O11" s="44"/>
      <c r="P11" s="44"/>
      <c r="Q11" s="44"/>
      <c r="R11" s="44"/>
    </row>
    <row r="12" spans="1:18" x14ac:dyDescent="0.3">
      <c r="A12" s="1">
        <v>7</v>
      </c>
      <c r="B12" s="6" t="s">
        <v>46</v>
      </c>
      <c r="C12" s="10">
        <f t="shared" si="0"/>
        <v>5994.3771225499995</v>
      </c>
      <c r="D12" s="10">
        <f t="shared" si="1"/>
        <v>5818.4899142899985</v>
      </c>
      <c r="E12" s="41">
        <f>D12/C12-1</f>
        <v>-2.934203248546674E-2</v>
      </c>
      <c r="H12" s="6" t="s">
        <v>46</v>
      </c>
      <c r="I12" s="10">
        <f>I10+I9</f>
        <v>5963.9159862500001</v>
      </c>
      <c r="J12" s="10">
        <f>J10+J9</f>
        <v>5996.1005711000016</v>
      </c>
      <c r="K12" s="10">
        <f t="shared" ref="K12:M12" si="2">K10+K9</f>
        <v>6050.0419892099999</v>
      </c>
      <c r="L12" s="10">
        <f t="shared" si="2"/>
        <v>6075.8403642699996</v>
      </c>
      <c r="M12" s="10">
        <f t="shared" si="2"/>
        <v>6156.2008316400006</v>
      </c>
      <c r="N12" s="10">
        <f t="shared" ref="N12:O12" si="3">N10+N9</f>
        <v>5910.4028212399999</v>
      </c>
      <c r="O12" s="10">
        <f t="shared" si="3"/>
        <v>6005.1448391099993</v>
      </c>
      <c r="P12" s="10">
        <f>P10+P9</f>
        <v>5994.3771225499995</v>
      </c>
      <c r="Q12" s="10">
        <f>Q10+Q9</f>
        <v>6049.3754122400005</v>
      </c>
      <c r="R12" s="10">
        <f>R10+R9</f>
        <v>5818.4899142899985</v>
      </c>
    </row>
    <row r="13" spans="1:18" ht="5.25" customHeight="1" x14ac:dyDescent="0.3">
      <c r="A13" s="1">
        <v>8</v>
      </c>
    </row>
    <row r="14" spans="1:18" x14ac:dyDescent="0.3">
      <c r="A14" s="1">
        <v>9</v>
      </c>
      <c r="B14" s="5" t="s">
        <v>42</v>
      </c>
      <c r="C14" s="15">
        <f t="shared" si="0"/>
        <v>301.90262543</v>
      </c>
      <c r="D14" s="15">
        <f t="shared" si="1"/>
        <v>217.377272</v>
      </c>
      <c r="E14" s="39">
        <f>D14/C14-1</f>
        <v>-0.27997554943290248</v>
      </c>
      <c r="H14" s="5" t="s">
        <v>42</v>
      </c>
      <c r="I14" s="15">
        <v>332.06293499999998</v>
      </c>
      <c r="J14" s="15">
        <v>257.57242348</v>
      </c>
      <c r="K14" s="15">
        <v>251.18324160999998</v>
      </c>
      <c r="L14" s="15">
        <v>321.59412931000003</v>
      </c>
      <c r="M14" s="15">
        <v>311.40434149000004</v>
      </c>
      <c r="N14" s="15">
        <v>240.91993596999998</v>
      </c>
      <c r="O14" s="15">
        <v>238.14455495999999</v>
      </c>
      <c r="P14" s="15">
        <f>345.36432029-P33</f>
        <v>301.90262543</v>
      </c>
      <c r="Q14" s="15">
        <f>324.73546798-Q33</f>
        <v>278.59070792</v>
      </c>
      <c r="R14" s="15">
        <v>217.377272</v>
      </c>
    </row>
    <row r="15" spans="1:18" x14ac:dyDescent="0.3">
      <c r="A15" s="1">
        <v>10</v>
      </c>
      <c r="B15" s="5" t="s">
        <v>97</v>
      </c>
      <c r="C15" s="15">
        <f t="shared" si="0"/>
        <v>2242.7578190900003</v>
      </c>
      <c r="D15" s="15">
        <f t="shared" si="1"/>
        <v>2247.1130673900002</v>
      </c>
      <c r="E15" s="39">
        <f>D15/C15-1</f>
        <v>1.9419164489935525E-3</v>
      </c>
      <c r="H15" s="5" t="s">
        <v>97</v>
      </c>
      <c r="I15" s="15">
        <v>2298.0290426399997</v>
      </c>
      <c r="J15" s="15">
        <v>2289.0193435900001</v>
      </c>
      <c r="K15" s="15">
        <v>2303.73616958</v>
      </c>
      <c r="L15" s="15">
        <v>2262.9810454100002</v>
      </c>
      <c r="M15" s="15">
        <v>2276.3748615799996</v>
      </c>
      <c r="N15" s="15">
        <v>2240.46498006</v>
      </c>
      <c r="O15" s="15">
        <v>2281.9964221199998</v>
      </c>
      <c r="P15" s="15">
        <f>2576.04691683-P34</f>
        <v>2242.7578190900003</v>
      </c>
      <c r="Q15" s="15">
        <f>2601.2611478-Q34</f>
        <v>2257.6920767399997</v>
      </c>
      <c r="R15" s="15">
        <v>2247.1130673900002</v>
      </c>
    </row>
    <row r="16" spans="1:18" x14ac:dyDescent="0.3">
      <c r="A16" s="1">
        <v>11</v>
      </c>
      <c r="B16" s="5" t="s">
        <v>98</v>
      </c>
      <c r="C16" s="15">
        <f t="shared" si="0"/>
        <v>3449.7166780299999</v>
      </c>
      <c r="D16" s="15">
        <f t="shared" si="1"/>
        <v>3354.0092946500004</v>
      </c>
      <c r="E16" s="39">
        <f t="shared" ref="E16" si="4">D16/C16-1</f>
        <v>-2.7743548909255455E-2</v>
      </c>
      <c r="H16" s="5" t="s">
        <v>98</v>
      </c>
      <c r="I16" s="15">
        <v>3333.1386763600008</v>
      </c>
      <c r="J16" s="15">
        <v>3449.5088040299997</v>
      </c>
      <c r="K16" s="15">
        <v>3495.1225780199998</v>
      </c>
      <c r="L16" s="15">
        <v>3491.2651895500003</v>
      </c>
      <c r="M16" s="15">
        <v>3568.4216285699999</v>
      </c>
      <c r="N16" s="15">
        <v>3429.0179052100002</v>
      </c>
      <c r="O16" s="15">
        <v>3485.0038620300002</v>
      </c>
      <c r="P16" s="15">
        <f>3856.93745521-P35</f>
        <v>3449.7166780299999</v>
      </c>
      <c r="Q16" s="15">
        <f>3924.4754199-Q35</f>
        <v>3513.0926275799998</v>
      </c>
      <c r="R16" s="15">
        <v>3354.0092946500004</v>
      </c>
    </row>
    <row r="17" spans="1:18" ht="4.5" customHeight="1" x14ac:dyDescent="0.3">
      <c r="A17" s="1">
        <v>12</v>
      </c>
      <c r="C17" s="1">
        <f t="shared" si="0"/>
        <v>0</v>
      </c>
      <c r="D17" s="42">
        <f t="shared" si="1"/>
        <v>0</v>
      </c>
      <c r="E17" s="42"/>
    </row>
    <row r="18" spans="1:18" x14ac:dyDescent="0.3">
      <c r="A18" s="1">
        <v>13</v>
      </c>
      <c r="B18" s="6" t="s">
        <v>45</v>
      </c>
      <c r="C18" s="10">
        <f t="shared" si="0"/>
        <v>5994.3771225500004</v>
      </c>
      <c r="D18" s="10">
        <f t="shared" si="1"/>
        <v>5818.4996340400012</v>
      </c>
      <c r="E18" s="41">
        <f>D18/C18-1</f>
        <v>-2.9340411007571232E-2</v>
      </c>
      <c r="H18" s="6" t="s">
        <v>45</v>
      </c>
      <c r="I18" s="10">
        <f>SUM(I14:I16)</f>
        <v>5963.2306540000009</v>
      </c>
      <c r="J18" s="10">
        <f t="shared" ref="J18" si="5">SUM(J14:J16)</f>
        <v>5996.1005710999998</v>
      </c>
      <c r="K18" s="10">
        <f>SUM(K14:K16)</f>
        <v>6050.0419892099999</v>
      </c>
      <c r="L18" s="10">
        <f t="shared" ref="L18:N18" si="6">SUM(L14:L16)</f>
        <v>6075.8403642700005</v>
      </c>
      <c r="M18" s="10">
        <f t="shared" si="6"/>
        <v>6156.2008316399997</v>
      </c>
      <c r="N18" s="10">
        <f t="shared" si="6"/>
        <v>5910.4028212400008</v>
      </c>
      <c r="O18" s="10">
        <f t="shared" ref="O18:R18" si="7">SUM(O14:O16)</f>
        <v>6005.1448391100002</v>
      </c>
      <c r="P18" s="10">
        <f t="shared" si="7"/>
        <v>5994.3771225500004</v>
      </c>
      <c r="Q18" s="10">
        <f t="shared" si="7"/>
        <v>6049.3754122399996</v>
      </c>
      <c r="R18" s="10">
        <f t="shared" si="7"/>
        <v>5818.4996340400012</v>
      </c>
    </row>
    <row r="23" spans="1:18" ht="23.25" x14ac:dyDescent="0.35">
      <c r="B23" s="13" t="s">
        <v>36</v>
      </c>
      <c r="C23" s="14"/>
      <c r="D23" s="14"/>
      <c r="E23" s="14"/>
      <c r="H23" s="13" t="s">
        <v>36</v>
      </c>
      <c r="I23" s="14"/>
      <c r="J23" s="14"/>
      <c r="K23" s="14"/>
      <c r="L23" s="14"/>
      <c r="M23" s="14"/>
      <c r="N23" s="14"/>
      <c r="O23" s="14"/>
      <c r="P23" s="14"/>
      <c r="Q23" s="14"/>
      <c r="R23" s="14"/>
    </row>
    <row r="24" spans="1:18" ht="7.5" customHeight="1" x14ac:dyDescent="0.3"/>
    <row r="25" spans="1:18" x14ac:dyDescent="0.3">
      <c r="A25" s="1">
        <v>1</v>
      </c>
      <c r="B25" s="3" t="s">
        <v>39</v>
      </c>
      <c r="C25" s="86" t="s">
        <v>112</v>
      </c>
      <c r="D25" s="86" t="s">
        <v>118</v>
      </c>
      <c r="E25" s="84" t="s">
        <v>29</v>
      </c>
      <c r="H25" s="3" t="s">
        <v>39</v>
      </c>
      <c r="I25" s="84" t="s">
        <v>50</v>
      </c>
      <c r="J25" s="84" t="s">
        <v>49</v>
      </c>
      <c r="K25" s="84" t="s">
        <v>48</v>
      </c>
      <c r="L25" s="84" t="s">
        <v>99</v>
      </c>
      <c r="M25" s="84" t="s">
        <v>102</v>
      </c>
      <c r="N25" s="84" t="s">
        <v>110</v>
      </c>
      <c r="O25" s="84" t="s">
        <v>111</v>
      </c>
      <c r="P25" s="84" t="s">
        <v>112</v>
      </c>
      <c r="Q25" s="84" t="s">
        <v>114</v>
      </c>
      <c r="R25" s="84" t="s">
        <v>118</v>
      </c>
    </row>
    <row r="26" spans="1:18" x14ac:dyDescent="0.3">
      <c r="A26" s="1">
        <v>2</v>
      </c>
      <c r="B26" s="3" t="s">
        <v>0</v>
      </c>
      <c r="C26" s="86"/>
      <c r="D26" s="86"/>
      <c r="E26" s="84"/>
      <c r="H26" s="3" t="s">
        <v>0</v>
      </c>
      <c r="I26" s="84"/>
      <c r="J26" s="84"/>
      <c r="K26" s="84"/>
      <c r="L26" s="84"/>
      <c r="M26" s="84"/>
      <c r="N26" s="84"/>
      <c r="O26" s="84"/>
      <c r="P26" s="84"/>
      <c r="Q26" s="84"/>
      <c r="R26" s="84"/>
    </row>
    <row r="27" spans="1:18" ht="4.5" customHeight="1" x14ac:dyDescent="0.3">
      <c r="A27" s="1">
        <v>3</v>
      </c>
    </row>
    <row r="28" spans="1:18" x14ac:dyDescent="0.3">
      <c r="A28" s="1">
        <v>4</v>
      </c>
      <c r="B28" s="5" t="s">
        <v>40</v>
      </c>
      <c r="C28" s="8">
        <f>+HLOOKUP($C$25,$H$25:$T$37,A28,FALSE)</f>
        <v>71.835890230000004</v>
      </c>
      <c r="D28" s="8">
        <f>+HLOOKUP($D$25,$H$25:$T$37,A28,FALSE)</f>
        <v>67.594024689999998</v>
      </c>
      <c r="E28" s="39">
        <f>D28/C28-1</f>
        <v>-5.9049390582042616E-2</v>
      </c>
      <c r="H28" s="5" t="s">
        <v>40</v>
      </c>
      <c r="I28" s="15">
        <v>99.084344999999999</v>
      </c>
      <c r="J28" s="15">
        <v>101.61696936</v>
      </c>
      <c r="K28" s="15">
        <v>103.71705962999999</v>
      </c>
      <c r="L28" s="15">
        <v>110.32355256999999</v>
      </c>
      <c r="M28" s="15">
        <v>97.451427910000007</v>
      </c>
      <c r="N28" s="15">
        <v>104.49759676000001</v>
      </c>
      <c r="O28" s="15">
        <v>97.678491099999988</v>
      </c>
      <c r="P28" s="15">
        <v>71.835890230000004</v>
      </c>
      <c r="Q28" s="15">
        <v>66.734628219999991</v>
      </c>
      <c r="R28" s="15">
        <v>67.594024689999998</v>
      </c>
    </row>
    <row r="29" spans="1:18" x14ac:dyDescent="0.3">
      <c r="A29" s="1">
        <v>5</v>
      </c>
      <c r="B29" s="5" t="s">
        <v>41</v>
      </c>
      <c r="C29" s="8">
        <f t="shared" ref="C29:C37" si="8">+HLOOKUP($C$25,$H$25:$T$37,A29,FALSE)</f>
        <v>712.13567955000008</v>
      </c>
      <c r="D29" s="8">
        <f t="shared" ref="D29:D37" si="9">+HLOOKUP($D$25,$H$25:$T$37,A29,FALSE)</f>
        <v>861.97988807999991</v>
      </c>
      <c r="E29" s="39">
        <f>D29/C29-1</f>
        <v>0.21041525208326406</v>
      </c>
      <c r="H29" s="5" t="s">
        <v>41</v>
      </c>
      <c r="I29" s="15">
        <v>734.85100731999989</v>
      </c>
      <c r="J29" s="15">
        <v>728.05867406999994</v>
      </c>
      <c r="K29" s="15">
        <v>743.07765096000014</v>
      </c>
      <c r="L29" s="15">
        <v>736.37788302000001</v>
      </c>
      <c r="M29" s="15">
        <v>732.46127262999994</v>
      </c>
      <c r="N29" s="15">
        <v>723.52039917000002</v>
      </c>
      <c r="O29" s="15">
        <v>716.73618529000032</v>
      </c>
      <c r="P29" s="15">
        <v>712.13567955000008</v>
      </c>
      <c r="Q29" s="15">
        <v>734.36199522000004</v>
      </c>
      <c r="R29" s="15">
        <v>861.97988807999991</v>
      </c>
    </row>
    <row r="30" spans="1:18" ht="4.5" customHeight="1" x14ac:dyDescent="0.3">
      <c r="A30" s="1">
        <v>6</v>
      </c>
      <c r="C30" s="1">
        <f t="shared" si="8"/>
        <v>0</v>
      </c>
      <c r="D30" s="1">
        <f t="shared" si="9"/>
        <v>0</v>
      </c>
      <c r="E30" s="42"/>
    </row>
    <row r="31" spans="1:18" x14ac:dyDescent="0.3">
      <c r="A31" s="1">
        <v>7</v>
      </c>
      <c r="B31" s="6" t="s">
        <v>46</v>
      </c>
      <c r="C31" s="10">
        <f t="shared" si="8"/>
        <v>783.9715697800001</v>
      </c>
      <c r="D31" s="10">
        <f t="shared" si="9"/>
        <v>929.57391276999988</v>
      </c>
      <c r="E31" s="41">
        <f>D31/C31-1</f>
        <v>0.18572400913831477</v>
      </c>
      <c r="H31" s="6" t="s">
        <v>46</v>
      </c>
      <c r="I31" s="10">
        <f>I29+I28</f>
        <v>833.93535231999988</v>
      </c>
      <c r="J31" s="10">
        <f t="shared" ref="J31:K31" si="10">J29+J28</f>
        <v>829.67564342999992</v>
      </c>
      <c r="K31" s="10">
        <f t="shared" si="10"/>
        <v>846.79471059000014</v>
      </c>
      <c r="L31" s="10">
        <f t="shared" ref="L31:N31" si="11">L29+L28</f>
        <v>846.70143558999996</v>
      </c>
      <c r="M31" s="10">
        <f t="shared" si="11"/>
        <v>829.91270053999995</v>
      </c>
      <c r="N31" s="10">
        <f t="shared" si="11"/>
        <v>828.01799592999998</v>
      </c>
      <c r="O31" s="10">
        <f t="shared" ref="O31" si="12">O29+O28</f>
        <v>814.4146763900003</v>
      </c>
      <c r="P31" s="10">
        <f>+P28+P29</f>
        <v>783.9715697800001</v>
      </c>
      <c r="Q31" s="10">
        <f>+Q28+Q29</f>
        <v>801.09662344000003</v>
      </c>
      <c r="R31" s="10">
        <f>+R28+R29</f>
        <v>929.57391276999988</v>
      </c>
    </row>
    <row r="32" spans="1:18" ht="4.5" customHeight="1" x14ac:dyDescent="0.3">
      <c r="A32" s="1">
        <v>8</v>
      </c>
      <c r="C32" s="1">
        <f t="shared" si="8"/>
        <v>0</v>
      </c>
      <c r="D32" s="1">
        <f t="shared" si="9"/>
        <v>0</v>
      </c>
      <c r="E32" s="42"/>
    </row>
    <row r="33" spans="1:18" x14ac:dyDescent="0.3">
      <c r="A33" s="1">
        <v>9</v>
      </c>
      <c r="B33" s="5" t="s">
        <v>42</v>
      </c>
      <c r="C33" s="8">
        <f t="shared" si="8"/>
        <v>43.461694860000001</v>
      </c>
      <c r="D33" s="8">
        <f t="shared" si="9"/>
        <v>53.074400949999998</v>
      </c>
      <c r="E33" s="39">
        <f>D33/C33-1</f>
        <v>0.22117651235104163</v>
      </c>
      <c r="H33" s="5" t="s">
        <v>42</v>
      </c>
      <c r="I33" s="15">
        <v>22.336485010000001</v>
      </c>
      <c r="J33" s="15">
        <v>20.85197148</v>
      </c>
      <c r="K33" s="15">
        <v>28.26018797</v>
      </c>
      <c r="L33" s="15">
        <v>33.207928359999997</v>
      </c>
      <c r="M33" s="15">
        <v>34.073178300000009</v>
      </c>
      <c r="N33" s="15">
        <v>35.731892770000002</v>
      </c>
      <c r="O33" s="15">
        <v>42.527268629999995</v>
      </c>
      <c r="P33" s="15">
        <v>43.461694860000001</v>
      </c>
      <c r="Q33" s="15">
        <v>46.144760060000003</v>
      </c>
      <c r="R33" s="15">
        <v>53.074400949999998</v>
      </c>
    </row>
    <row r="34" spans="1:18" x14ac:dyDescent="0.3">
      <c r="A34" s="1">
        <v>10</v>
      </c>
      <c r="B34" s="5" t="s">
        <v>43</v>
      </c>
      <c r="C34" s="8">
        <f t="shared" si="8"/>
        <v>333.28909773999993</v>
      </c>
      <c r="D34" s="8">
        <f t="shared" si="9"/>
        <v>464.94667656999997</v>
      </c>
      <c r="E34" s="39">
        <f t="shared" ref="E34:E35" si="13">D34/C34-1</f>
        <v>0.39502515900687096</v>
      </c>
      <c r="H34" s="5" t="s">
        <v>43</v>
      </c>
      <c r="I34" s="15">
        <v>374.89243102999995</v>
      </c>
      <c r="J34" s="15">
        <v>373.39117074000001</v>
      </c>
      <c r="K34" s="15">
        <v>358.59106495999998</v>
      </c>
      <c r="L34" s="15">
        <v>354.05204652999998</v>
      </c>
      <c r="M34" s="15">
        <v>347.86783338999999</v>
      </c>
      <c r="N34" s="15">
        <v>347.68134299999997</v>
      </c>
      <c r="O34" s="15">
        <v>333.21886042</v>
      </c>
      <c r="P34" s="15">
        <v>333.28909773999993</v>
      </c>
      <c r="Q34" s="15">
        <v>343.56907105999994</v>
      </c>
      <c r="R34" s="15">
        <v>464.94667656999997</v>
      </c>
    </row>
    <row r="35" spans="1:18" x14ac:dyDescent="0.3">
      <c r="A35" s="1">
        <v>11</v>
      </c>
      <c r="B35" s="5" t="s">
        <v>44</v>
      </c>
      <c r="C35" s="8">
        <f t="shared" si="8"/>
        <v>407.22077717999997</v>
      </c>
      <c r="D35" s="8">
        <f t="shared" si="9"/>
        <v>411.55283524999999</v>
      </c>
      <c r="E35" s="39">
        <f t="shared" si="13"/>
        <v>1.0638106680114667E-2</v>
      </c>
      <c r="H35" s="5" t="s">
        <v>44</v>
      </c>
      <c r="I35" s="15">
        <v>436.70643628000005</v>
      </c>
      <c r="J35" s="15">
        <v>435.43250121000005</v>
      </c>
      <c r="K35" s="15">
        <v>459.94345766000004</v>
      </c>
      <c r="L35" s="15">
        <v>459.44146069999994</v>
      </c>
      <c r="M35" s="15">
        <v>447.97168884999991</v>
      </c>
      <c r="N35" s="15">
        <v>444.60476015999996</v>
      </c>
      <c r="O35" s="15">
        <v>438.66854733999998</v>
      </c>
      <c r="P35" s="15">
        <v>407.22077717999997</v>
      </c>
      <c r="Q35" s="15">
        <v>411.38279232000002</v>
      </c>
      <c r="R35" s="15">
        <v>411.55283524999999</v>
      </c>
    </row>
    <row r="36" spans="1:18" ht="4.5" customHeight="1" x14ac:dyDescent="0.3">
      <c r="A36" s="1">
        <v>12</v>
      </c>
      <c r="C36" s="1">
        <f t="shared" si="8"/>
        <v>0</v>
      </c>
      <c r="D36" s="1">
        <f t="shared" si="9"/>
        <v>0</v>
      </c>
      <c r="E36" s="42"/>
    </row>
    <row r="37" spans="1:18" x14ac:dyDescent="0.3">
      <c r="A37" s="1">
        <v>13</v>
      </c>
      <c r="B37" s="6" t="s">
        <v>45</v>
      </c>
      <c r="C37" s="10">
        <f t="shared" si="8"/>
        <v>783.97156977999998</v>
      </c>
      <c r="D37" s="10">
        <f t="shared" si="9"/>
        <v>929.57391276999988</v>
      </c>
      <c r="E37" s="41">
        <f>D37/C37-1</f>
        <v>0.18572400913831499</v>
      </c>
      <c r="H37" s="6" t="s">
        <v>45</v>
      </c>
      <c r="I37" s="10">
        <f>SUM(I33:I35)</f>
        <v>833.93535231999999</v>
      </c>
      <c r="J37" s="10">
        <f t="shared" ref="J37:K37" si="14">SUM(J33:J35)</f>
        <v>829.67564343000004</v>
      </c>
      <c r="K37" s="10">
        <f t="shared" si="14"/>
        <v>846.79471059000002</v>
      </c>
      <c r="L37" s="10">
        <f t="shared" ref="L37:N37" si="15">SUM(L33:L35)</f>
        <v>846.70143558999985</v>
      </c>
      <c r="M37" s="10">
        <f t="shared" si="15"/>
        <v>829.91270053999983</v>
      </c>
      <c r="N37" s="10">
        <f t="shared" si="15"/>
        <v>828.01799592999987</v>
      </c>
      <c r="O37" s="10">
        <f t="shared" ref="O37:R37" si="16">SUM(O33:O35)</f>
        <v>814.41467638999995</v>
      </c>
      <c r="P37" s="10">
        <f t="shared" si="16"/>
        <v>783.97156977999998</v>
      </c>
      <c r="Q37" s="10">
        <f t="shared" si="16"/>
        <v>801.09662344000003</v>
      </c>
      <c r="R37" s="10">
        <f t="shared" si="16"/>
        <v>929.57391276999988</v>
      </c>
    </row>
  </sheetData>
  <mergeCells count="26">
    <mergeCell ref="K6:K7"/>
    <mergeCell ref="O6:O7"/>
    <mergeCell ref="P25:P26"/>
    <mergeCell ref="O25:O26"/>
    <mergeCell ref="N6:N7"/>
    <mergeCell ref="N25:N26"/>
    <mergeCell ref="L6:L7"/>
    <mergeCell ref="L25:L26"/>
    <mergeCell ref="M6:M7"/>
    <mergeCell ref="M25:M26"/>
    <mergeCell ref="R6:R7"/>
    <mergeCell ref="R25:R26"/>
    <mergeCell ref="Q6:Q7"/>
    <mergeCell ref="Q25:Q26"/>
    <mergeCell ref="C6:C7"/>
    <mergeCell ref="D6:D7"/>
    <mergeCell ref="E6:E7"/>
    <mergeCell ref="C25:C26"/>
    <mergeCell ref="D25:D26"/>
    <mergeCell ref="E25:E26"/>
    <mergeCell ref="P6:P7"/>
    <mergeCell ref="I25:I26"/>
    <mergeCell ref="J25:J26"/>
    <mergeCell ref="K25:K26"/>
    <mergeCell ref="I6:I7"/>
    <mergeCell ref="J6:J7"/>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4:AC30"/>
  <sheetViews>
    <sheetView tabSelected="1" zoomScale="80" zoomScaleNormal="80" workbookViewId="0">
      <selection activeCell="Y37" sqref="Y37"/>
    </sheetView>
  </sheetViews>
  <sheetFormatPr baseColWidth="10" defaultColWidth="11.42578125" defaultRowHeight="15" x14ac:dyDescent="0.3"/>
  <cols>
    <col min="1" max="1" width="30.28515625" style="1" customWidth="1"/>
    <col min="2" max="6" width="11.42578125" style="1"/>
    <col min="7" max="7" width="32.85546875" style="1" customWidth="1"/>
    <col min="8" max="19" width="11.42578125" style="1" hidden="1" customWidth="1"/>
    <col min="20" max="24" width="11.42578125" style="1" customWidth="1"/>
    <col min="25" max="16384" width="11.42578125" style="1"/>
  </cols>
  <sheetData>
    <row r="4" spans="1:29" ht="23.25" x14ac:dyDescent="0.35">
      <c r="A4" s="13" t="s">
        <v>30</v>
      </c>
      <c r="B4" s="14"/>
      <c r="C4" s="14"/>
      <c r="D4" s="14"/>
      <c r="G4" s="13" t="s">
        <v>30</v>
      </c>
      <c r="H4" s="14"/>
      <c r="I4" s="14"/>
      <c r="J4" s="14"/>
      <c r="K4" s="14"/>
      <c r="L4" s="14"/>
      <c r="M4" s="14"/>
      <c r="N4" s="14"/>
      <c r="O4" s="14"/>
      <c r="P4" s="14"/>
      <c r="Q4" s="14"/>
      <c r="R4" s="14"/>
      <c r="S4" s="14"/>
      <c r="T4" s="14"/>
      <c r="U4" s="14"/>
      <c r="V4" s="14"/>
      <c r="W4" s="14"/>
      <c r="X4" s="14"/>
      <c r="Y4" s="14"/>
      <c r="Z4" s="14"/>
      <c r="AA4" s="14"/>
      <c r="AB4" s="14"/>
      <c r="AC4" s="14"/>
    </row>
    <row r="5" spans="1:29" x14ac:dyDescent="0.3">
      <c r="F5" s="88"/>
    </row>
    <row r="6" spans="1:29" x14ac:dyDescent="0.3">
      <c r="A6" s="3" t="s">
        <v>88</v>
      </c>
      <c r="B6" s="84" t="s">
        <v>112</v>
      </c>
      <c r="C6" s="86" t="s">
        <v>118</v>
      </c>
      <c r="D6" s="84" t="s">
        <v>29</v>
      </c>
      <c r="F6" s="88">
        <v>1</v>
      </c>
      <c r="G6" s="3" t="s">
        <v>88</v>
      </c>
      <c r="H6" s="84" t="s">
        <v>55</v>
      </c>
      <c r="I6" s="84" t="s">
        <v>56</v>
      </c>
      <c r="J6" s="84" t="s">
        <v>57</v>
      </c>
      <c r="K6" s="84" t="s">
        <v>58</v>
      </c>
      <c r="L6" s="84" t="s">
        <v>59</v>
      </c>
      <c r="M6" s="84" t="s">
        <v>60</v>
      </c>
      <c r="N6" s="84" t="s">
        <v>61</v>
      </c>
      <c r="O6" s="84" t="s">
        <v>62</v>
      </c>
      <c r="P6" s="84" t="s">
        <v>54</v>
      </c>
      <c r="Q6" s="84" t="s">
        <v>53</v>
      </c>
      <c r="R6" s="84" t="s">
        <v>52</v>
      </c>
      <c r="S6" s="84" t="s">
        <v>51</v>
      </c>
      <c r="T6" s="84" t="s">
        <v>50</v>
      </c>
      <c r="U6" s="84" t="s">
        <v>49</v>
      </c>
      <c r="V6" s="84" t="s">
        <v>48</v>
      </c>
      <c r="W6" s="84" t="s">
        <v>99</v>
      </c>
      <c r="X6" s="84" t="s">
        <v>102</v>
      </c>
      <c r="Y6" s="84" t="s">
        <v>110</v>
      </c>
      <c r="Z6" s="84" t="s">
        <v>111</v>
      </c>
      <c r="AA6" s="84" t="s">
        <v>112</v>
      </c>
      <c r="AB6" s="84" t="s">
        <v>114</v>
      </c>
      <c r="AC6" s="84" t="s">
        <v>118</v>
      </c>
    </row>
    <row r="7" spans="1:29" x14ac:dyDescent="0.3">
      <c r="A7" s="3" t="s">
        <v>0</v>
      </c>
      <c r="B7" s="84"/>
      <c r="C7" s="86"/>
      <c r="D7" s="84"/>
      <c r="F7" s="88">
        <v>2</v>
      </c>
      <c r="G7" s="3" t="s">
        <v>0</v>
      </c>
      <c r="H7" s="84"/>
      <c r="I7" s="84"/>
      <c r="J7" s="84"/>
      <c r="K7" s="84"/>
      <c r="L7" s="84"/>
      <c r="M7" s="84"/>
      <c r="N7" s="84"/>
      <c r="O7" s="84"/>
      <c r="P7" s="84"/>
      <c r="Q7" s="84"/>
      <c r="R7" s="84"/>
      <c r="S7" s="84"/>
      <c r="T7" s="84"/>
      <c r="U7" s="84"/>
      <c r="V7" s="84"/>
      <c r="W7" s="84"/>
      <c r="X7" s="84"/>
      <c r="Y7" s="84"/>
      <c r="Z7" s="84"/>
      <c r="AA7" s="84"/>
      <c r="AB7" s="84"/>
      <c r="AC7" s="84"/>
    </row>
    <row r="8" spans="1:29" x14ac:dyDescent="0.3">
      <c r="F8" s="88">
        <v>3</v>
      </c>
    </row>
    <row r="9" spans="1:29" x14ac:dyDescent="0.3">
      <c r="A9" s="5" t="s">
        <v>84</v>
      </c>
      <c r="B9" s="9">
        <f>+HLOOKUP($B$6,$G$6:$AI$13,F9,FALSE)</f>
        <v>1254.1770553000001</v>
      </c>
      <c r="C9" s="9">
        <f>+HLOOKUP($C$6,$G$6:$AI$13,F9,FALSE)</f>
        <v>1255.6366147000001</v>
      </c>
      <c r="D9" s="50">
        <f>C9/B9-1</f>
        <v>1.1637586526018762E-3</v>
      </c>
      <c r="F9" s="88">
        <v>4</v>
      </c>
      <c r="G9" s="5" t="s">
        <v>116</v>
      </c>
      <c r="H9" s="9">
        <v>1621.21</v>
      </c>
      <c r="I9" s="9">
        <v>1618.2439999999999</v>
      </c>
      <c r="J9" s="9">
        <v>2045.0509999999999</v>
      </c>
      <c r="K9" s="9">
        <v>1893.8910000000001</v>
      </c>
      <c r="L9" s="9">
        <v>1887.99</v>
      </c>
      <c r="M9" s="9">
        <v>1877</v>
      </c>
      <c r="N9" s="9">
        <v>1870.7026136500001</v>
      </c>
      <c r="O9" s="9">
        <v>1857.9439466699998</v>
      </c>
      <c r="P9" s="9">
        <v>1865.7826170000001</v>
      </c>
      <c r="Q9" s="9">
        <v>1626.8895758000001</v>
      </c>
      <c r="R9" s="9">
        <v>1361.9305067499999</v>
      </c>
      <c r="S9" s="9">
        <v>1347.14813589</v>
      </c>
      <c r="T9" s="9">
        <v>1342.6678752600001</v>
      </c>
      <c r="U9" s="9">
        <v>1341.22899979</v>
      </c>
      <c r="V9" s="9">
        <v>1344.95474584</v>
      </c>
      <c r="W9" s="9">
        <v>1305.42787344</v>
      </c>
      <c r="X9" s="9">
        <v>1318.1200414800001</v>
      </c>
      <c r="Y9" s="9">
        <v>1280.81690873</v>
      </c>
      <c r="Z9" s="9">
        <v>1287.7160888599999</v>
      </c>
      <c r="AA9" s="9">
        <f>1603.2633381-AA23</f>
        <v>1254.1770553000001</v>
      </c>
      <c r="AB9" s="9">
        <f>1612.00621806-AB23</f>
        <v>1272.0972800500001</v>
      </c>
      <c r="AC9" s="9">
        <v>1255.6366147000001</v>
      </c>
    </row>
    <row r="10" spans="1:29" x14ac:dyDescent="0.3">
      <c r="A10" s="5" t="s">
        <v>85</v>
      </c>
      <c r="B10" s="9">
        <f t="shared" ref="B10:B13" si="0">+HLOOKUP($B$6,$G$6:$AI$13,F10,FALSE)</f>
        <v>764.38389112999994</v>
      </c>
      <c r="C10" s="9">
        <f t="shared" ref="C10:C13" si="1">+HLOOKUP($C$6,$G$6:$AI$13,F10,FALSE)</f>
        <v>649.83319934000008</v>
      </c>
      <c r="D10" s="50">
        <f t="shared" ref="D10:D13" si="2">C10/B10-1</f>
        <v>-0.14986015942939079</v>
      </c>
      <c r="F10" s="88">
        <v>5</v>
      </c>
      <c r="G10" s="5" t="s">
        <v>85</v>
      </c>
      <c r="H10" s="9">
        <v>208.3</v>
      </c>
      <c r="I10" s="9">
        <v>337.4</v>
      </c>
      <c r="J10" s="9">
        <v>878.3</v>
      </c>
      <c r="K10" s="9">
        <v>832.76</v>
      </c>
      <c r="L10" s="9">
        <v>816.7</v>
      </c>
      <c r="M10" s="9">
        <v>912.5</v>
      </c>
      <c r="N10" s="9">
        <v>1090.5720669099999</v>
      </c>
      <c r="O10" s="9">
        <v>1058.0028371999999</v>
      </c>
      <c r="P10" s="9">
        <v>1041.9427924399999</v>
      </c>
      <c r="Q10" s="9">
        <v>821.89592786000003</v>
      </c>
      <c r="R10" s="9">
        <v>577.45237951000001</v>
      </c>
      <c r="S10" s="9">
        <v>644.96538209000005</v>
      </c>
      <c r="T10" s="9">
        <v>625.20350478</v>
      </c>
      <c r="U10" s="9">
        <v>642.64908048999996</v>
      </c>
      <c r="V10" s="9">
        <v>732.58318152000004</v>
      </c>
      <c r="W10" s="9">
        <v>757.34681765000005</v>
      </c>
      <c r="X10" s="9">
        <v>840.18244562999996</v>
      </c>
      <c r="Y10" s="9">
        <v>643.19314947999999</v>
      </c>
      <c r="Z10" s="9">
        <v>738.20035213999995</v>
      </c>
      <c r="AA10" s="9">
        <f>788.08749668-AA24</f>
        <v>764.38389112999994</v>
      </c>
      <c r="AB10" s="9">
        <f>815.72624595-AB24</f>
        <v>802.70145593000007</v>
      </c>
      <c r="AC10" s="9">
        <v>649.83319934000008</v>
      </c>
    </row>
    <row r="11" spans="1:29" x14ac:dyDescent="0.3">
      <c r="A11" s="5" t="s">
        <v>86</v>
      </c>
      <c r="B11" s="9">
        <f t="shared" si="0"/>
        <v>489.79316417000018</v>
      </c>
      <c r="C11" s="9">
        <f t="shared" si="1"/>
        <v>605.80341536000014</v>
      </c>
      <c r="D11" s="50">
        <f t="shared" si="2"/>
        <v>0.2368555947214781</v>
      </c>
      <c r="F11" s="88">
        <v>6</v>
      </c>
      <c r="G11" s="5" t="s">
        <v>86</v>
      </c>
      <c r="H11" s="9">
        <f>H9-H10</f>
        <v>1412.91</v>
      </c>
      <c r="I11" s="9">
        <f t="shared" ref="I11:P11" si="3">I9-I10</f>
        <v>1280.8440000000001</v>
      </c>
      <c r="J11" s="9">
        <f t="shared" si="3"/>
        <v>1166.751</v>
      </c>
      <c r="K11" s="9">
        <f t="shared" si="3"/>
        <v>1061.1310000000001</v>
      </c>
      <c r="L11" s="9">
        <f t="shared" si="3"/>
        <v>1071.29</v>
      </c>
      <c r="M11" s="9">
        <f t="shared" si="3"/>
        <v>964.5</v>
      </c>
      <c r="N11" s="9">
        <f t="shared" si="3"/>
        <v>780.13054674000023</v>
      </c>
      <c r="O11" s="9">
        <f t="shared" si="3"/>
        <v>799.9411094699999</v>
      </c>
      <c r="P11" s="9">
        <f t="shared" si="3"/>
        <v>823.83982456000012</v>
      </c>
      <c r="Q11" s="9">
        <f t="shared" ref="Q11" si="4">Q9-Q10</f>
        <v>804.99364794000007</v>
      </c>
      <c r="R11" s="9">
        <f t="shared" ref="R11" si="5">R9-R10</f>
        <v>784.47812723999994</v>
      </c>
      <c r="S11" s="9">
        <f t="shared" ref="S11" si="6">S9-S10</f>
        <v>702.1827538</v>
      </c>
      <c r="T11" s="9">
        <f t="shared" ref="T11" si="7">T9-T10</f>
        <v>717.46437048000007</v>
      </c>
      <c r="U11" s="9">
        <f t="shared" ref="U11" si="8">U9-U10</f>
        <v>698.57991930000003</v>
      </c>
      <c r="V11" s="9">
        <f t="shared" ref="V11:X11" si="9">V9-V10</f>
        <v>612.37156431999995</v>
      </c>
      <c r="W11" s="9">
        <f t="shared" si="9"/>
        <v>548.08105578999994</v>
      </c>
      <c r="X11" s="9">
        <f t="shared" si="9"/>
        <v>477.93759585000009</v>
      </c>
      <c r="Y11" s="9">
        <f t="shared" ref="Y11:Z11" si="10">Y9-Y10</f>
        <v>637.62375925000003</v>
      </c>
      <c r="Z11" s="9">
        <f t="shared" si="10"/>
        <v>549.51573671999995</v>
      </c>
      <c r="AA11" s="9">
        <f>+AA9-AA10</f>
        <v>489.79316417000018</v>
      </c>
      <c r="AB11" s="9">
        <f>796.27997211-AB25</f>
        <v>469.3958241200001</v>
      </c>
      <c r="AC11" s="9">
        <v>605.80341536000014</v>
      </c>
    </row>
    <row r="12" spans="1:29" x14ac:dyDescent="0.3">
      <c r="A12" s="5" t="s">
        <v>87</v>
      </c>
      <c r="B12" s="9">
        <f t="shared" si="0"/>
        <v>648.38298073999999</v>
      </c>
      <c r="C12" s="9">
        <f t="shared" si="1"/>
        <v>653.52110927000012</v>
      </c>
      <c r="D12" s="50">
        <f t="shared" si="2"/>
        <v>7.9245271431029884E-3</v>
      </c>
      <c r="F12" s="88">
        <v>7</v>
      </c>
      <c r="G12" s="5" t="s">
        <v>87</v>
      </c>
      <c r="H12" s="9">
        <v>382.92145630999988</v>
      </c>
      <c r="I12" s="9">
        <v>393.30915419999997</v>
      </c>
      <c r="J12" s="9">
        <v>484.35407574999999</v>
      </c>
      <c r="K12" s="9">
        <f>SUM('Operating Income'!I33:L33)</f>
        <v>536.55660998999997</v>
      </c>
      <c r="L12" s="9">
        <f>SUM('Operating Income'!J33:M33)</f>
        <v>509.58181343000001</v>
      </c>
      <c r="M12" s="9">
        <f>SUM('Operating Income'!K33:N33)</f>
        <v>505.11810049000002</v>
      </c>
      <c r="N12" s="9">
        <f>SUM('Operating Income'!L33:O33)</f>
        <v>569.03689686999996</v>
      </c>
      <c r="O12" s="9">
        <f>SUM('Operating Income'!M33:P33)</f>
        <v>582.13436263000006</v>
      </c>
      <c r="P12" s="9">
        <f>SUM('Operating Income'!N33:Q33)</f>
        <v>642.86230607999994</v>
      </c>
      <c r="Q12" s="9">
        <f>SUM('Operating Income'!O33:R33)</f>
        <v>648.4863515699999</v>
      </c>
      <c r="R12" s="9">
        <f>SUM('Operating Income'!P33:S33)</f>
        <v>574.0483696199999</v>
      </c>
      <c r="S12" s="9">
        <f>SUM('Operating Income'!Q33:T33)</f>
        <v>545.71205114999987</v>
      </c>
      <c r="T12" s="9">
        <f>SUM('Operating Income'!R33:U33)</f>
        <v>535.59390827999982</v>
      </c>
      <c r="U12" s="9">
        <f>SUM('Operating Income'!S33:V33)</f>
        <v>541.16867648999994</v>
      </c>
      <c r="V12" s="9">
        <f>SUM('Operating Income'!T33:W33)</f>
        <v>595.27126139999996</v>
      </c>
      <c r="W12" s="9">
        <f>SUM('Operating Income'!U33:X33)</f>
        <v>638.54421912999999</v>
      </c>
      <c r="X12" s="9">
        <f>SUM('Operating Income'!V33:Y33)</f>
        <v>648.81246179000004</v>
      </c>
      <c r="Y12" s="9">
        <f>SUM('Operating Income'!W33:Z33)</f>
        <v>642.92675406000012</v>
      </c>
      <c r="Z12" s="9">
        <f>SUM('Operating Income'!X33:AA33)</f>
        <v>631.35391621000019</v>
      </c>
      <c r="AA12" s="9">
        <f>684.12254781-AA26</f>
        <v>648.38298073999999</v>
      </c>
      <c r="AB12" s="9">
        <f>682.20038713-AB26</f>
        <v>643.65844357999993</v>
      </c>
      <c r="AC12" s="9">
        <f>+SUM('Operating Income'!AA33:AD33)</f>
        <v>653.52110927000012</v>
      </c>
    </row>
    <row r="13" spans="1:29" x14ac:dyDescent="0.3">
      <c r="A13" s="5" t="s">
        <v>96</v>
      </c>
      <c r="B13" s="9">
        <f t="shared" si="0"/>
        <v>0.75540718791076045</v>
      </c>
      <c r="C13" s="9">
        <f t="shared" si="1"/>
        <v>0.92698369917491741</v>
      </c>
      <c r="D13" s="50">
        <f t="shared" si="2"/>
        <v>0.22713116053169724</v>
      </c>
      <c r="F13" s="88">
        <v>8</v>
      </c>
      <c r="G13" s="5" t="s">
        <v>96</v>
      </c>
      <c r="H13" s="9">
        <f>H11/H12</f>
        <v>3.6898167410503038</v>
      </c>
      <c r="I13" s="9">
        <f t="shared" ref="I13:V13" si="11">I11/I12</f>
        <v>3.2565832407467523</v>
      </c>
      <c r="J13" s="9">
        <f t="shared" si="11"/>
        <v>2.408880317964373</v>
      </c>
      <c r="K13" s="9">
        <f t="shared" si="11"/>
        <v>1.9776683023619388</v>
      </c>
      <c r="L13" s="9">
        <f t="shared" si="11"/>
        <v>2.1022924519011714</v>
      </c>
      <c r="M13" s="9">
        <f t="shared" si="11"/>
        <v>1.9094544405840284</v>
      </c>
      <c r="N13" s="9">
        <f t="shared" si="11"/>
        <v>1.3709665419432826</v>
      </c>
      <c r="O13" s="9">
        <f t="shared" si="11"/>
        <v>1.37415201854084</v>
      </c>
      <c r="P13" s="9">
        <f t="shared" si="11"/>
        <v>1.2815183232371361</v>
      </c>
      <c r="Q13" s="9">
        <f t="shared" si="11"/>
        <v>1.2413424677190084</v>
      </c>
      <c r="R13" s="9">
        <f t="shared" si="11"/>
        <v>1.3665714750819644</v>
      </c>
      <c r="S13" s="9">
        <f t="shared" si="11"/>
        <v>1.2867275925467716</v>
      </c>
      <c r="T13" s="9">
        <f t="shared" si="11"/>
        <v>1.339567831874819</v>
      </c>
      <c r="U13" s="9">
        <f t="shared" si="11"/>
        <v>1.2908727900346406</v>
      </c>
      <c r="V13" s="9">
        <f t="shared" si="11"/>
        <v>1.0287269082666317</v>
      </c>
      <c r="W13" s="9">
        <f t="shared" ref="W13:X13" si="12">W11/W12</f>
        <v>0.85832905438678342</v>
      </c>
      <c r="X13" s="9">
        <f t="shared" si="12"/>
        <v>0.73663442673623203</v>
      </c>
      <c r="Y13" s="9">
        <f t="shared" ref="Y13:Z13" si="13">Y11/Y12</f>
        <v>0.99175179011215142</v>
      </c>
      <c r="Z13" s="9">
        <f t="shared" si="13"/>
        <v>0.87037669777789206</v>
      </c>
      <c r="AA13" s="9">
        <f>+AA11/AA12</f>
        <v>0.75540718791076045</v>
      </c>
      <c r="AB13" s="9">
        <f>+AB11/AB12</f>
        <v>0.72926228002112614</v>
      </c>
      <c r="AC13" s="9">
        <f>+AC11/AC12</f>
        <v>0.92698369917491741</v>
      </c>
    </row>
    <row r="14" spans="1:29" x14ac:dyDescent="0.3">
      <c r="F14" s="88"/>
    </row>
    <row r="15" spans="1:29" x14ac:dyDescent="0.3">
      <c r="F15" s="88"/>
    </row>
    <row r="16" spans="1:29" x14ac:dyDescent="0.3">
      <c r="F16" s="88"/>
    </row>
    <row r="17" spans="1:29" x14ac:dyDescent="0.3">
      <c r="F17" s="88"/>
    </row>
    <row r="18" spans="1:29" ht="23.25" x14ac:dyDescent="0.35">
      <c r="A18" s="13" t="s">
        <v>36</v>
      </c>
      <c r="B18" s="14"/>
      <c r="C18" s="14"/>
      <c r="D18" s="14"/>
      <c r="F18" s="88"/>
      <c r="G18" s="13" t="s">
        <v>36</v>
      </c>
      <c r="H18" s="14"/>
      <c r="I18" s="14"/>
      <c r="J18" s="14"/>
      <c r="K18" s="14"/>
      <c r="L18" s="14"/>
      <c r="M18" s="14"/>
      <c r="N18" s="14"/>
      <c r="O18" s="14"/>
      <c r="P18" s="14"/>
      <c r="Q18" s="14"/>
      <c r="R18" s="14"/>
      <c r="S18" s="14"/>
      <c r="T18" s="14"/>
      <c r="U18" s="14"/>
      <c r="V18" s="14"/>
      <c r="W18" s="14"/>
      <c r="X18" s="14"/>
      <c r="Y18" s="14"/>
      <c r="Z18" s="14"/>
      <c r="AA18" s="14"/>
      <c r="AB18" s="14"/>
      <c r="AC18" s="14"/>
    </row>
    <row r="19" spans="1:29" x14ac:dyDescent="0.3">
      <c r="F19" s="88"/>
    </row>
    <row r="20" spans="1:29" x14ac:dyDescent="0.3">
      <c r="A20" s="3" t="s">
        <v>88</v>
      </c>
      <c r="B20" s="84" t="s">
        <v>112</v>
      </c>
      <c r="C20" s="86" t="s">
        <v>118</v>
      </c>
      <c r="D20" s="84" t="s">
        <v>29</v>
      </c>
      <c r="F20" s="88">
        <v>1</v>
      </c>
      <c r="G20" s="3" t="s">
        <v>88</v>
      </c>
      <c r="H20" s="84" t="s">
        <v>55</v>
      </c>
      <c r="I20" s="84" t="s">
        <v>56</v>
      </c>
      <c r="J20" s="84" t="s">
        <v>57</v>
      </c>
      <c r="K20" s="84" t="s">
        <v>58</v>
      </c>
      <c r="L20" s="84" t="s">
        <v>59</v>
      </c>
      <c r="M20" s="84" t="s">
        <v>60</v>
      </c>
      <c r="N20" s="84" t="s">
        <v>61</v>
      </c>
      <c r="O20" s="84" t="s">
        <v>62</v>
      </c>
      <c r="P20" s="84" t="s">
        <v>54</v>
      </c>
      <c r="Q20" s="84" t="s">
        <v>53</v>
      </c>
      <c r="R20" s="84" t="s">
        <v>52</v>
      </c>
      <c r="S20" s="84" t="s">
        <v>51</v>
      </c>
      <c r="T20" s="84" t="s">
        <v>50</v>
      </c>
      <c r="U20" s="84" t="s">
        <v>49</v>
      </c>
      <c r="V20" s="84" t="s">
        <v>48</v>
      </c>
      <c r="W20" s="84" t="s">
        <v>99</v>
      </c>
      <c r="X20" s="84" t="s">
        <v>102</v>
      </c>
      <c r="Y20" s="84" t="s">
        <v>110</v>
      </c>
      <c r="Z20" s="84" t="s">
        <v>111</v>
      </c>
      <c r="AA20" s="84" t="s">
        <v>112</v>
      </c>
      <c r="AB20" s="84" t="s">
        <v>114</v>
      </c>
      <c r="AC20" s="84" t="s">
        <v>118</v>
      </c>
    </row>
    <row r="21" spans="1:29" x14ac:dyDescent="0.3">
      <c r="A21" s="3" t="s">
        <v>0</v>
      </c>
      <c r="B21" s="84"/>
      <c r="C21" s="86"/>
      <c r="D21" s="84"/>
      <c r="F21" s="88">
        <v>2</v>
      </c>
      <c r="G21" s="3" t="s">
        <v>0</v>
      </c>
      <c r="H21" s="84"/>
      <c r="I21" s="84"/>
      <c r="J21" s="84"/>
      <c r="K21" s="84"/>
      <c r="L21" s="84"/>
      <c r="M21" s="84"/>
      <c r="N21" s="84"/>
      <c r="O21" s="84"/>
      <c r="P21" s="84"/>
      <c r="Q21" s="84"/>
      <c r="R21" s="84"/>
      <c r="S21" s="84"/>
      <c r="T21" s="84"/>
      <c r="U21" s="84"/>
      <c r="V21" s="84"/>
      <c r="W21" s="84"/>
      <c r="X21" s="84"/>
      <c r="Y21" s="84"/>
      <c r="Z21" s="84"/>
      <c r="AA21" s="84"/>
      <c r="AB21" s="84"/>
      <c r="AC21" s="84"/>
    </row>
    <row r="22" spans="1:29" x14ac:dyDescent="0.3">
      <c r="F22" s="88">
        <v>3</v>
      </c>
    </row>
    <row r="23" spans="1:29" x14ac:dyDescent="0.3">
      <c r="A23" s="5" t="s">
        <v>84</v>
      </c>
      <c r="B23" s="9">
        <f>+HLOOKUP($B$20,$G$20:$AI$27,F23,FALSE)</f>
        <v>349.08628279999994</v>
      </c>
      <c r="C23" s="9">
        <f>+HLOOKUP($C$20,$G$20:$AH$27,F23,FALSE)</f>
        <v>468.84071018999998</v>
      </c>
      <c r="D23" s="50">
        <f>C23/B23-1</f>
        <v>0.34305108304301446</v>
      </c>
      <c r="F23" s="88">
        <v>4</v>
      </c>
      <c r="G23" s="5" t="s">
        <v>116</v>
      </c>
      <c r="H23" s="36"/>
      <c r="I23" s="36"/>
      <c r="J23" s="36"/>
      <c r="K23" s="36"/>
      <c r="L23" s="36"/>
      <c r="M23" s="36"/>
      <c r="N23" s="36"/>
      <c r="O23" s="36"/>
      <c r="P23" s="9">
        <v>378.24112093999997</v>
      </c>
      <c r="Q23" s="9">
        <v>383.03361709000001</v>
      </c>
      <c r="R23" s="9">
        <v>378.53295608000002</v>
      </c>
      <c r="S23" s="9">
        <v>362.88383331</v>
      </c>
      <c r="T23" s="9">
        <v>360.77624745000003</v>
      </c>
      <c r="U23" s="9">
        <v>361.36130248000001</v>
      </c>
      <c r="V23" s="9">
        <v>350.57789079999998</v>
      </c>
      <c r="W23" s="9">
        <v>354.02454993999999</v>
      </c>
      <c r="X23" s="9">
        <v>350.32716904</v>
      </c>
      <c r="Y23" s="9">
        <v>354.05027138999998</v>
      </c>
      <c r="Z23" s="9">
        <v>345.42533279000003</v>
      </c>
      <c r="AA23" s="9">
        <v>349.08628279999994</v>
      </c>
      <c r="AB23" s="9">
        <v>339.90893800999993</v>
      </c>
      <c r="AC23" s="9">
        <v>468.84071018999998</v>
      </c>
    </row>
    <row r="24" spans="1:29" x14ac:dyDescent="0.3">
      <c r="A24" s="5" t="s">
        <v>85</v>
      </c>
      <c r="B24" s="9">
        <f t="shared" ref="B24:B27" si="14">+HLOOKUP($B$20,$G$20:$AI$27,F24,FALSE)</f>
        <v>23.703605549999995</v>
      </c>
      <c r="C24" s="9">
        <f t="shared" ref="C24:C27" si="15">+HLOOKUP($C$20,$G$20:$AH$27,F24,FALSE)</f>
        <v>17.493595700000004</v>
      </c>
      <c r="D24" s="50">
        <f t="shared" ref="D24:D27" si="16">C24/B24-1</f>
        <v>-0.2619858753935429</v>
      </c>
      <c r="F24" s="88">
        <v>5</v>
      </c>
      <c r="G24" s="5" t="s">
        <v>85</v>
      </c>
      <c r="H24" s="36"/>
      <c r="I24" s="36"/>
      <c r="J24" s="36"/>
      <c r="K24" s="36"/>
      <c r="L24" s="36"/>
      <c r="M24" s="36"/>
      <c r="N24" s="36"/>
      <c r="O24" s="36"/>
      <c r="P24" s="9">
        <v>20.63219316</v>
      </c>
      <c r="Q24" s="9">
        <v>26.780675710000001</v>
      </c>
      <c r="R24" s="9">
        <v>42.75403962</v>
      </c>
      <c r="S24" s="9">
        <v>22.031641610000001</v>
      </c>
      <c r="T24" s="9">
        <v>38.979379139999999</v>
      </c>
      <c r="U24" s="9">
        <v>37.818563949999998</v>
      </c>
      <c r="V24" s="9">
        <v>43.233564700000002</v>
      </c>
      <c r="W24" s="9">
        <v>52.868302270000001</v>
      </c>
      <c r="X24" s="9">
        <v>40.557920690000003</v>
      </c>
      <c r="Y24" s="9">
        <v>52.415248669999997</v>
      </c>
      <c r="Z24" s="9">
        <v>46.437148880000002</v>
      </c>
      <c r="AA24" s="9">
        <v>23.703605549999995</v>
      </c>
      <c r="AB24" s="9">
        <v>13.024790019999999</v>
      </c>
      <c r="AC24" s="9">
        <v>17.493595700000004</v>
      </c>
    </row>
    <row r="25" spans="1:29" x14ac:dyDescent="0.3">
      <c r="A25" s="5" t="s">
        <v>86</v>
      </c>
      <c r="B25" s="9">
        <f t="shared" si="14"/>
        <v>325.38267724999997</v>
      </c>
      <c r="C25" s="9">
        <f t="shared" si="15"/>
        <v>451.34711448999997</v>
      </c>
      <c r="D25" s="50">
        <f t="shared" si="16"/>
        <v>0.38712705391878699</v>
      </c>
      <c r="F25" s="88">
        <v>6</v>
      </c>
      <c r="G25" s="5" t="s">
        <v>86</v>
      </c>
      <c r="H25" s="36"/>
      <c r="I25" s="36"/>
      <c r="J25" s="36"/>
      <c r="K25" s="36"/>
      <c r="L25" s="36"/>
      <c r="M25" s="36"/>
      <c r="N25" s="36"/>
      <c r="O25" s="36"/>
      <c r="P25" s="9">
        <f>P23-P24</f>
        <v>357.60892777999999</v>
      </c>
      <c r="Q25" s="9">
        <f t="shared" ref="Q25:V25" si="17">Q23-Q24</f>
        <v>356.25294137999998</v>
      </c>
      <c r="R25" s="9">
        <f t="shared" si="17"/>
        <v>335.77891646</v>
      </c>
      <c r="S25" s="9">
        <f t="shared" si="17"/>
        <v>340.85219169999999</v>
      </c>
      <c r="T25" s="9">
        <f t="shared" si="17"/>
        <v>321.79686831000004</v>
      </c>
      <c r="U25" s="9">
        <f t="shared" si="17"/>
        <v>323.54273853000001</v>
      </c>
      <c r="V25" s="9">
        <f t="shared" si="17"/>
        <v>307.34432609999999</v>
      </c>
      <c r="W25" s="9">
        <f t="shared" ref="W25:X25" si="18">W23-W24</f>
        <v>301.15624766999997</v>
      </c>
      <c r="X25" s="9">
        <f t="shared" si="18"/>
        <v>309.76924835</v>
      </c>
      <c r="Y25" s="9">
        <f t="shared" ref="Y25:Z25" si="19">Y23-Y24</f>
        <v>301.63502271999999</v>
      </c>
      <c r="Z25" s="9">
        <f t="shared" si="19"/>
        <v>298.98818391000003</v>
      </c>
      <c r="AA25" s="9">
        <v>325.38267724999997</v>
      </c>
      <c r="AB25" s="9">
        <f>+AB23-AB24</f>
        <v>326.88414798999992</v>
      </c>
      <c r="AC25" s="9">
        <f>+AC23-AC24</f>
        <v>451.34711448999997</v>
      </c>
    </row>
    <row r="26" spans="1:29" x14ac:dyDescent="0.3">
      <c r="A26" s="5" t="s">
        <v>87</v>
      </c>
      <c r="B26" s="9">
        <f t="shared" si="14"/>
        <v>35.739567069999993</v>
      </c>
      <c r="C26" s="9">
        <f t="shared" si="15"/>
        <v>48.446993130000003</v>
      </c>
      <c r="D26" s="50">
        <f t="shared" si="16"/>
        <v>0.35555623925469138</v>
      </c>
      <c r="F26" s="88">
        <v>7</v>
      </c>
      <c r="G26" s="5" t="s">
        <v>87</v>
      </c>
      <c r="H26" s="36"/>
      <c r="I26" s="36"/>
      <c r="J26" s="36"/>
      <c r="K26" s="36"/>
      <c r="L26" s="36"/>
      <c r="M26" s="36"/>
      <c r="N26" s="36"/>
      <c r="O26" s="36"/>
      <c r="P26" s="9">
        <v>52.496359250000012</v>
      </c>
      <c r="Q26" s="9">
        <v>43.236194240000017</v>
      </c>
      <c r="R26" s="9">
        <v>46.363594150000011</v>
      </c>
      <c r="S26" s="9">
        <f>SUM('Operating Income'!Q86:T86)</f>
        <v>56.038916260000008</v>
      </c>
      <c r="T26" s="9">
        <f>SUM('Operating Income'!R86:U86)</f>
        <v>50.73002218000002</v>
      </c>
      <c r="U26" s="9">
        <f>SUM('Operating Income'!S86:V86)</f>
        <v>52.520309130000015</v>
      </c>
      <c r="V26" s="9">
        <f>SUM('Operating Income'!T86:W86)</f>
        <v>49.897649080000001</v>
      </c>
      <c r="W26" s="9">
        <f>SUM('Operating Income'!U86:X86)</f>
        <v>53.585730650000002</v>
      </c>
      <c r="X26" s="9">
        <f>SUM('Operating Income'!V86:Y86)</f>
        <v>52.09403240999999</v>
      </c>
      <c r="Y26" s="9">
        <f>SUM('Operating Income'!W86:Z86)</f>
        <v>53.503672749999993</v>
      </c>
      <c r="Z26" s="9">
        <f>SUM('Operating Income'!X86:AA86)</f>
        <v>47.392068980000005</v>
      </c>
      <c r="AA26" s="9">
        <v>35.739567069999993</v>
      </c>
      <c r="AB26" s="9">
        <f>+SUM('Operating Income'!Z86:AC86)</f>
        <v>38.541943550000006</v>
      </c>
      <c r="AC26" s="9">
        <f>+SUM('Operating Income'!AA86:AD86)</f>
        <v>48.446993130000003</v>
      </c>
    </row>
    <row r="27" spans="1:29" x14ac:dyDescent="0.3">
      <c r="A27" s="5" t="s">
        <v>96</v>
      </c>
      <c r="B27" s="9">
        <f t="shared" si="14"/>
        <v>9.1042702507476125</v>
      </c>
      <c r="C27" s="9">
        <f t="shared" si="15"/>
        <v>9.316308099428996</v>
      </c>
      <c r="D27" s="50">
        <f t="shared" si="16"/>
        <v>2.3289933497302684E-2</v>
      </c>
      <c r="F27" s="88">
        <v>8</v>
      </c>
      <c r="G27" s="5" t="s">
        <v>96</v>
      </c>
      <c r="H27" s="36"/>
      <c r="I27" s="36"/>
      <c r="J27" s="36"/>
      <c r="K27" s="36"/>
      <c r="L27" s="36"/>
      <c r="M27" s="36"/>
      <c r="N27" s="36"/>
      <c r="O27" s="36"/>
      <c r="P27" s="9">
        <f t="shared" ref="P27" si="20">P25/P26</f>
        <v>6.812071025287338</v>
      </c>
      <c r="Q27" s="9">
        <f t="shared" ref="Q27" si="21">Q25/Q26</f>
        <v>8.2396924068402893</v>
      </c>
      <c r="R27" s="9">
        <f t="shared" ref="R27" si="22">R25/R26</f>
        <v>7.2422969490599751</v>
      </c>
      <c r="S27" s="9">
        <f t="shared" ref="S27:V27" si="23">S25/S26</f>
        <v>6.082419405089329</v>
      </c>
      <c r="T27" s="9">
        <f t="shared" si="23"/>
        <v>6.3433220503669787</v>
      </c>
      <c r="U27" s="9">
        <f t="shared" si="23"/>
        <v>6.1603357613367482</v>
      </c>
      <c r="V27" s="9">
        <f t="shared" si="23"/>
        <v>6.1594951218491349</v>
      </c>
      <c r="W27" s="9">
        <f t="shared" ref="W27:X27" si="24">W25/W26</f>
        <v>5.6200828843228612</v>
      </c>
      <c r="X27" s="9">
        <f t="shared" si="24"/>
        <v>5.9463480559922361</v>
      </c>
      <c r="Y27" s="9">
        <f t="shared" ref="Y27" si="25">Y25/Y26</f>
        <v>5.6376507857584421</v>
      </c>
      <c r="Z27" s="9">
        <f>Z25/Z26</f>
        <v>6.3088231922555744</v>
      </c>
      <c r="AA27" s="9">
        <f>AA25/AA26</f>
        <v>9.1042702507476125</v>
      </c>
      <c r="AB27" s="9">
        <f>+AB25/AB26</f>
        <v>8.4812575049812153</v>
      </c>
      <c r="AC27" s="9">
        <f>+AC25/AC26</f>
        <v>9.316308099428996</v>
      </c>
    </row>
    <row r="29" spans="1:29" x14ac:dyDescent="0.3">
      <c r="G29" s="1" t="s">
        <v>117</v>
      </c>
    </row>
    <row r="30" spans="1:29" x14ac:dyDescent="0.3">
      <c r="B30" s="59"/>
    </row>
  </sheetData>
  <mergeCells count="50">
    <mergeCell ref="O6:O7"/>
    <mergeCell ref="P6:P7"/>
    <mergeCell ref="W6:W7"/>
    <mergeCell ref="W20:W21"/>
    <mergeCell ref="S6:S7"/>
    <mergeCell ref="T6:T7"/>
    <mergeCell ref="U6:U7"/>
    <mergeCell ref="V6:V7"/>
    <mergeCell ref="Q6:Q7"/>
    <mergeCell ref="R6:R7"/>
    <mergeCell ref="U20:U21"/>
    <mergeCell ref="V20:V21"/>
    <mergeCell ref="T20:T21"/>
    <mergeCell ref="O20:O21"/>
    <mergeCell ref="P20:P21"/>
    <mergeCell ref="Q20:Q21"/>
    <mergeCell ref="B6:B7"/>
    <mergeCell ref="C6:C7"/>
    <mergeCell ref="D6:D7"/>
    <mergeCell ref="B20:B21"/>
    <mergeCell ref="C20:C21"/>
    <mergeCell ref="D20:D21"/>
    <mergeCell ref="L20:L21"/>
    <mergeCell ref="M20:M21"/>
    <mergeCell ref="N20:N21"/>
    <mergeCell ref="M6:M7"/>
    <mergeCell ref="N6:N7"/>
    <mergeCell ref="L6:L7"/>
    <mergeCell ref="H6:H7"/>
    <mergeCell ref="H20:H21"/>
    <mergeCell ref="I6:I7"/>
    <mergeCell ref="J6:J7"/>
    <mergeCell ref="K6:K7"/>
    <mergeCell ref="I20:I21"/>
    <mergeCell ref="J20:J21"/>
    <mergeCell ref="K20:K21"/>
    <mergeCell ref="AC6:AC7"/>
    <mergeCell ref="AC20:AC21"/>
    <mergeCell ref="R20:R21"/>
    <mergeCell ref="S20:S21"/>
    <mergeCell ref="AB6:AB7"/>
    <mergeCell ref="AB20:AB21"/>
    <mergeCell ref="Z6:Z7"/>
    <mergeCell ref="Z20:Z21"/>
    <mergeCell ref="Y6:Y7"/>
    <mergeCell ref="Y20:Y21"/>
    <mergeCell ref="AA6:AA7"/>
    <mergeCell ref="AA20:AA21"/>
    <mergeCell ref="X6:X7"/>
    <mergeCell ref="X20:X21"/>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4:M22"/>
  <sheetViews>
    <sheetView zoomScale="90" zoomScaleNormal="90" workbookViewId="0">
      <selection activeCell="D27" sqref="D27"/>
    </sheetView>
  </sheetViews>
  <sheetFormatPr baseColWidth="10" defaultColWidth="11.42578125" defaultRowHeight="15" x14ac:dyDescent="0.3"/>
  <cols>
    <col min="1" max="1" width="27.28515625" style="51" customWidth="1"/>
    <col min="2" max="2" width="7.85546875" style="51" hidden="1" customWidth="1"/>
    <col min="3" max="13" width="7.85546875" style="51" customWidth="1"/>
    <col min="14" max="16" width="8" style="51" customWidth="1"/>
    <col min="17" max="16384" width="11.42578125" style="51"/>
  </cols>
  <sheetData>
    <row r="4" spans="1:13" ht="23.25" x14ac:dyDescent="0.35">
      <c r="A4" s="13" t="s">
        <v>30</v>
      </c>
      <c r="B4" s="14"/>
      <c r="C4" s="14"/>
      <c r="D4" s="14"/>
      <c r="E4" s="14"/>
      <c r="F4" s="14"/>
      <c r="G4" s="14"/>
      <c r="H4" s="14"/>
      <c r="I4" s="14"/>
      <c r="J4" s="14"/>
      <c r="K4" s="14"/>
      <c r="L4" s="14"/>
      <c r="M4" s="14"/>
    </row>
    <row r="5" spans="1:13" ht="14.25" customHeight="1" x14ac:dyDescent="0.3">
      <c r="A5" s="1"/>
      <c r="B5" s="1"/>
      <c r="C5" s="1"/>
      <c r="D5" s="1"/>
    </row>
    <row r="6" spans="1:13" x14ac:dyDescent="0.3">
      <c r="A6" s="3" t="s">
        <v>115</v>
      </c>
      <c r="B6" s="84">
        <v>2018</v>
      </c>
      <c r="C6" s="84">
        <v>2019</v>
      </c>
      <c r="D6" s="84">
        <v>2020</v>
      </c>
      <c r="E6" s="84">
        <v>2021</v>
      </c>
      <c r="F6" s="84">
        <v>2022</v>
      </c>
      <c r="G6" s="84">
        <v>2023</v>
      </c>
      <c r="H6" s="84">
        <v>2024</v>
      </c>
      <c r="I6" s="84">
        <v>2025</v>
      </c>
      <c r="J6" s="84">
        <v>2026</v>
      </c>
      <c r="K6" s="84">
        <v>2027</v>
      </c>
      <c r="L6" s="84">
        <v>2028</v>
      </c>
      <c r="M6" s="84">
        <v>2029</v>
      </c>
    </row>
    <row r="7" spans="1:13" x14ac:dyDescent="0.3">
      <c r="A7" s="3" t="s">
        <v>0</v>
      </c>
      <c r="B7" s="84"/>
      <c r="C7" s="84"/>
      <c r="D7" s="84"/>
      <c r="E7" s="84"/>
      <c r="F7" s="84"/>
      <c r="G7" s="84"/>
      <c r="H7" s="84"/>
      <c r="I7" s="84"/>
      <c r="J7" s="84"/>
      <c r="K7" s="84"/>
      <c r="L7" s="84"/>
      <c r="M7" s="84"/>
    </row>
    <row r="8" spans="1:13" ht="8.25" customHeight="1" x14ac:dyDescent="0.3">
      <c r="A8" s="1"/>
      <c r="B8" s="1"/>
      <c r="C8" s="1"/>
      <c r="D8" s="1"/>
    </row>
    <row r="9" spans="1:13" x14ac:dyDescent="0.3">
      <c r="A9" s="5" t="s">
        <v>100</v>
      </c>
      <c r="B9" s="8">
        <f>+[1]Directorio!$K$9</f>
        <v>0</v>
      </c>
      <c r="C9" s="8">
        <v>17.712429601263601</v>
      </c>
      <c r="D9" s="15">
        <v>35.726990156783025</v>
      </c>
      <c r="E9" s="15">
        <v>36.146791455934867</v>
      </c>
      <c r="F9" s="15">
        <v>27.434618815512064</v>
      </c>
      <c r="G9" s="15">
        <v>27.43461881551206</v>
      </c>
      <c r="H9" s="15">
        <v>527.43461881551207</v>
      </c>
      <c r="I9" s="15">
        <v>27.434618815512064</v>
      </c>
      <c r="J9" s="15">
        <v>27.43461881551206</v>
      </c>
      <c r="K9" s="15">
        <v>527.43461881551207</v>
      </c>
      <c r="L9" s="15">
        <v>19.047854719903373</v>
      </c>
      <c r="M9" s="15">
        <v>5.3304107495019473</v>
      </c>
    </row>
    <row r="14" spans="1:13" ht="23.25" x14ac:dyDescent="0.35">
      <c r="A14" s="13" t="s">
        <v>36</v>
      </c>
      <c r="B14" s="14"/>
      <c r="C14" s="14"/>
      <c r="D14" s="14"/>
      <c r="E14" s="14"/>
      <c r="F14" s="14"/>
      <c r="G14" s="14"/>
      <c r="H14" s="14"/>
      <c r="I14" s="14"/>
      <c r="J14" s="14"/>
      <c r="K14" s="14"/>
      <c r="L14" s="14"/>
      <c r="M14" s="14"/>
    </row>
    <row r="15" spans="1:13" ht="13.5" customHeight="1" x14ac:dyDescent="0.3">
      <c r="A15" s="1"/>
      <c r="B15" s="1"/>
      <c r="C15" s="1"/>
      <c r="D15" s="1"/>
    </row>
    <row r="16" spans="1:13" x14ac:dyDescent="0.3">
      <c r="A16" s="3" t="s">
        <v>115</v>
      </c>
      <c r="B16" s="84">
        <v>2018</v>
      </c>
      <c r="C16" s="84">
        <v>2019</v>
      </c>
      <c r="D16" s="84">
        <v>2020</v>
      </c>
      <c r="E16" s="84">
        <v>2021</v>
      </c>
      <c r="F16" s="84">
        <v>2022</v>
      </c>
      <c r="G16" s="84">
        <v>2023</v>
      </c>
      <c r="H16" s="84">
        <v>2024</v>
      </c>
      <c r="I16" s="84">
        <v>2025</v>
      </c>
      <c r="J16" s="84">
        <v>2026</v>
      </c>
      <c r="K16" s="84">
        <v>2027</v>
      </c>
      <c r="L16" s="87">
        <v>2028</v>
      </c>
      <c r="M16" s="84">
        <v>2029</v>
      </c>
    </row>
    <row r="17" spans="1:13" x14ac:dyDescent="0.3">
      <c r="A17" s="3" t="s">
        <v>0</v>
      </c>
      <c r="B17" s="84"/>
      <c r="C17" s="84"/>
      <c r="D17" s="84"/>
      <c r="E17" s="84"/>
      <c r="F17" s="84"/>
      <c r="G17" s="84"/>
      <c r="H17" s="84"/>
      <c r="I17" s="84"/>
      <c r="J17" s="84"/>
      <c r="K17" s="84"/>
      <c r="L17" s="87"/>
      <c r="M17" s="84"/>
    </row>
    <row r="18" spans="1:13" x14ac:dyDescent="0.3">
      <c r="A18" s="1"/>
      <c r="B18" s="1"/>
      <c r="C18" s="1"/>
      <c r="D18" s="1"/>
    </row>
    <row r="19" spans="1:13" x14ac:dyDescent="0.3">
      <c r="A19" s="5" t="s">
        <v>101</v>
      </c>
      <c r="B19" s="8">
        <v>0</v>
      </c>
      <c r="C19" s="8">
        <v>6</v>
      </c>
      <c r="D19" s="8">
        <v>18</v>
      </c>
      <c r="E19" s="8">
        <v>24</v>
      </c>
      <c r="F19" s="8">
        <v>27</v>
      </c>
      <c r="G19" s="8">
        <v>28</v>
      </c>
      <c r="H19" s="8">
        <v>24</v>
      </c>
      <c r="I19" s="8">
        <v>16</v>
      </c>
      <c r="J19" s="8">
        <v>18</v>
      </c>
      <c r="K19" s="8">
        <v>168</v>
      </c>
      <c r="L19" s="8">
        <v>0</v>
      </c>
      <c r="M19" s="8">
        <v>0</v>
      </c>
    </row>
    <row r="22" spans="1:13" x14ac:dyDescent="0.3">
      <c r="A22" s="1" t="s">
        <v>126</v>
      </c>
      <c r="B22" s="1"/>
      <c r="C22" s="1"/>
      <c r="D22" s="1"/>
      <c r="E22" s="1"/>
      <c r="F22" s="1"/>
      <c r="G22" s="1"/>
      <c r="H22" s="1"/>
      <c r="I22" s="1"/>
      <c r="J22" s="1"/>
      <c r="K22" s="1"/>
    </row>
  </sheetData>
  <mergeCells count="24">
    <mergeCell ref="F16:F17"/>
    <mergeCell ref="M6:M7"/>
    <mergeCell ref="C6:C7"/>
    <mergeCell ref="D6:D7"/>
    <mergeCell ref="E6:E7"/>
    <mergeCell ref="F6:F7"/>
    <mergeCell ref="L6:L7"/>
    <mergeCell ref="K6:K7"/>
    <mergeCell ref="B6:B7"/>
    <mergeCell ref="L16:L17"/>
    <mergeCell ref="M16:M17"/>
    <mergeCell ref="H16:H17"/>
    <mergeCell ref="I16:I17"/>
    <mergeCell ref="J16:J17"/>
    <mergeCell ref="K16:K17"/>
    <mergeCell ref="G6:G7"/>
    <mergeCell ref="G16:G17"/>
    <mergeCell ref="H6:H7"/>
    <mergeCell ref="I6:I7"/>
    <mergeCell ref="J6:J7"/>
    <mergeCell ref="B16:B17"/>
    <mergeCell ref="C16:C17"/>
    <mergeCell ref="D16:D17"/>
    <mergeCell ref="E16:E17"/>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sheetPr>
  <dimension ref="A4:AG37"/>
  <sheetViews>
    <sheetView topLeftCell="B1" zoomScale="80" zoomScaleNormal="80" workbookViewId="0">
      <selection activeCell="H47" sqref="H47"/>
    </sheetView>
  </sheetViews>
  <sheetFormatPr baseColWidth="10" defaultColWidth="11.42578125" defaultRowHeight="15" x14ac:dyDescent="0.3"/>
  <cols>
    <col min="1" max="1" width="0" style="1" hidden="1" customWidth="1"/>
    <col min="2" max="2" width="57" style="1" customWidth="1"/>
    <col min="3" max="7" width="11.42578125" style="1"/>
    <col min="8" max="8" width="55.85546875" style="1" customWidth="1"/>
    <col min="9" max="20" width="11.42578125" style="1" hidden="1" customWidth="1"/>
    <col min="21" max="23" width="11.42578125" style="1" customWidth="1"/>
    <col min="24" max="24" width="11.42578125" style="1"/>
    <col min="25" max="26" width="11.42578125" style="1" customWidth="1"/>
    <col min="27" max="16384" width="11.42578125" style="1"/>
  </cols>
  <sheetData>
    <row r="4" spans="1:30" ht="23.25" x14ac:dyDescent="0.35">
      <c r="B4" s="13" t="s">
        <v>30</v>
      </c>
      <c r="C4" s="14"/>
      <c r="D4" s="14"/>
      <c r="E4" s="14"/>
      <c r="H4" s="13" t="s">
        <v>30</v>
      </c>
      <c r="I4" s="14"/>
      <c r="J4" s="14"/>
      <c r="K4" s="14"/>
      <c r="L4" s="14"/>
      <c r="M4" s="14"/>
      <c r="N4" s="14"/>
      <c r="O4" s="14"/>
      <c r="P4" s="14"/>
      <c r="Q4" s="14"/>
      <c r="R4" s="14"/>
      <c r="S4" s="14"/>
      <c r="T4" s="14"/>
      <c r="U4" s="14"/>
      <c r="V4" s="14"/>
      <c r="W4" s="14"/>
      <c r="X4" s="14"/>
      <c r="Y4" s="14"/>
      <c r="Z4" s="14"/>
      <c r="AA4" s="14"/>
      <c r="AB4" s="14"/>
      <c r="AC4" s="14"/>
      <c r="AD4" s="14"/>
    </row>
    <row r="6" spans="1:30" x14ac:dyDescent="0.3">
      <c r="A6" s="1">
        <v>1</v>
      </c>
      <c r="B6" s="3" t="s">
        <v>113</v>
      </c>
      <c r="C6" s="84" t="s">
        <v>110</v>
      </c>
      <c r="D6" s="84" t="s">
        <v>118</v>
      </c>
      <c r="E6" s="84" t="s">
        <v>29</v>
      </c>
      <c r="H6" s="3" t="s">
        <v>113</v>
      </c>
      <c r="I6" s="84" t="s">
        <v>55</v>
      </c>
      <c r="J6" s="84" t="s">
        <v>56</v>
      </c>
      <c r="K6" s="84" t="s">
        <v>57</v>
      </c>
      <c r="L6" s="84" t="s">
        <v>58</v>
      </c>
      <c r="M6" s="84" t="s">
        <v>59</v>
      </c>
      <c r="N6" s="84" t="s">
        <v>60</v>
      </c>
      <c r="O6" s="84" t="s">
        <v>61</v>
      </c>
      <c r="P6" s="84" t="s">
        <v>62</v>
      </c>
      <c r="Q6" s="84" t="s">
        <v>54</v>
      </c>
      <c r="R6" s="84" t="s">
        <v>53</v>
      </c>
      <c r="S6" s="84" t="s">
        <v>52</v>
      </c>
      <c r="T6" s="84" t="s">
        <v>51</v>
      </c>
      <c r="U6" s="84" t="s">
        <v>50</v>
      </c>
      <c r="V6" s="84" t="s">
        <v>49</v>
      </c>
      <c r="W6" s="84" t="s">
        <v>48</v>
      </c>
      <c r="X6" s="84" t="s">
        <v>99</v>
      </c>
      <c r="Y6" s="84" t="s">
        <v>102</v>
      </c>
      <c r="Z6" s="84" t="s">
        <v>110</v>
      </c>
      <c r="AA6" s="84" t="s">
        <v>111</v>
      </c>
      <c r="AB6" s="84" t="s">
        <v>112</v>
      </c>
      <c r="AC6" s="84" t="s">
        <v>114</v>
      </c>
      <c r="AD6" s="84" t="s">
        <v>118</v>
      </c>
    </row>
    <row r="7" spans="1:30" x14ac:dyDescent="0.3">
      <c r="A7" s="1">
        <v>2</v>
      </c>
      <c r="B7" s="3" t="s">
        <v>0</v>
      </c>
      <c r="C7" s="84"/>
      <c r="D7" s="84"/>
      <c r="E7" s="84"/>
      <c r="H7" s="3" t="s">
        <v>0</v>
      </c>
      <c r="I7" s="84"/>
      <c r="J7" s="84"/>
      <c r="K7" s="84"/>
      <c r="L7" s="84"/>
      <c r="M7" s="84"/>
      <c r="N7" s="84"/>
      <c r="O7" s="84"/>
      <c r="P7" s="84"/>
      <c r="Q7" s="84"/>
      <c r="R7" s="84"/>
      <c r="S7" s="84"/>
      <c r="T7" s="84"/>
      <c r="U7" s="84"/>
      <c r="V7" s="84"/>
      <c r="W7" s="84"/>
      <c r="X7" s="84"/>
      <c r="Y7" s="84"/>
      <c r="Z7" s="84"/>
      <c r="AA7" s="84"/>
      <c r="AB7" s="84"/>
      <c r="AC7" s="84"/>
      <c r="AD7" s="84"/>
    </row>
    <row r="8" spans="1:30" x14ac:dyDescent="0.3">
      <c r="A8" s="1">
        <v>3</v>
      </c>
    </row>
    <row r="9" spans="1:30" x14ac:dyDescent="0.3">
      <c r="A9" s="1">
        <v>4</v>
      </c>
      <c r="B9" s="6" t="s">
        <v>63</v>
      </c>
      <c r="C9" s="10">
        <f>+HLOOKUP($C$6,$H$6:$AN$18,A9,FALSE)</f>
        <v>840.17041991999986</v>
      </c>
      <c r="D9" s="10">
        <f>+HLOOKUP($D$6,$H$6:$AN$18,A9,FALSE)</f>
        <v>802.74441991999993</v>
      </c>
      <c r="E9" s="41">
        <f>D9/C9-1</f>
        <v>-4.4545724430007372E-2</v>
      </c>
      <c r="H9" s="6" t="s">
        <v>63</v>
      </c>
      <c r="I9" s="20">
        <v>260.39999999999998</v>
      </c>
      <c r="J9" s="20">
        <v>208.3</v>
      </c>
      <c r="K9" s="20">
        <v>337.4</v>
      </c>
      <c r="L9" s="20">
        <v>878.3</v>
      </c>
      <c r="M9" s="20">
        <v>832.8</v>
      </c>
      <c r="N9" s="20">
        <v>816.69999999999993</v>
      </c>
      <c r="O9" s="20">
        <v>912.49099999999987</v>
      </c>
      <c r="P9" s="20">
        <v>1090.6089999999999</v>
      </c>
      <c r="Q9" s="10">
        <v>1038.626229</v>
      </c>
      <c r="R9" s="10">
        <v>1042.8013145999998</v>
      </c>
      <c r="S9" s="10">
        <v>827.98442899999998</v>
      </c>
      <c r="T9" s="10">
        <v>577.45219999999995</v>
      </c>
      <c r="U9" s="10">
        <v>644.96532536999996</v>
      </c>
      <c r="V9" s="10">
        <v>625.20658783999988</v>
      </c>
      <c r="W9" s="10">
        <v>642.65432536999992</v>
      </c>
      <c r="X9" s="10">
        <f>W18</f>
        <v>732.58732536999992</v>
      </c>
      <c r="Y9" s="10">
        <f>X18</f>
        <v>757.34541991999981</v>
      </c>
      <c r="Z9" s="10">
        <f>Y18</f>
        <v>840.17041991999986</v>
      </c>
      <c r="AA9" s="10">
        <f>Z18</f>
        <v>643.25541991999989</v>
      </c>
      <c r="AB9" s="10">
        <f>+AA18</f>
        <v>738.2454199199999</v>
      </c>
      <c r="AC9" s="10">
        <f>788.11511992-AC28</f>
        <v>764.44441991999997</v>
      </c>
      <c r="AD9" s="10">
        <v>802.74441991999993</v>
      </c>
    </row>
    <row r="10" spans="1:30" ht="8.25" customHeight="1" x14ac:dyDescent="0.3">
      <c r="A10" s="1">
        <v>5</v>
      </c>
      <c r="I10" s="23"/>
      <c r="J10" s="23"/>
      <c r="K10" s="23"/>
      <c r="L10" s="23"/>
      <c r="M10" s="23"/>
      <c r="N10" s="23"/>
      <c r="O10" s="23"/>
      <c r="P10" s="23"/>
    </row>
    <row r="11" spans="1:30" x14ac:dyDescent="0.3">
      <c r="A11" s="1">
        <v>6</v>
      </c>
      <c r="B11" s="5" t="s">
        <v>64</v>
      </c>
      <c r="C11" s="9">
        <f>+HLOOKUP($C$6,$H$6:$AG$18,A11,FALSE)</f>
        <v>83.737000000000023</v>
      </c>
      <c r="D11" s="9">
        <f t="shared" ref="D11:D14" si="0">+HLOOKUP($D$6,$H$6:$AN$18,A11,FALSE)</f>
        <v>154</v>
      </c>
      <c r="E11" s="39">
        <f>+D11/C11-1</f>
        <v>0.83909144105950717</v>
      </c>
      <c r="H11" s="5" t="s">
        <v>64</v>
      </c>
      <c r="I11" s="19">
        <v>83.1</v>
      </c>
      <c r="J11" s="19">
        <v>196.8</v>
      </c>
      <c r="K11" s="19">
        <v>148.9</v>
      </c>
      <c r="L11" s="19">
        <v>166.8</v>
      </c>
      <c r="M11" s="19">
        <v>77.2</v>
      </c>
      <c r="N11" s="19">
        <v>157.346</v>
      </c>
      <c r="O11" s="19">
        <v>235.101</v>
      </c>
      <c r="P11" s="19">
        <v>248.51662899999999</v>
      </c>
      <c r="Q11" s="9">
        <v>98.175600000000003</v>
      </c>
      <c r="R11" s="9">
        <v>151.8321</v>
      </c>
      <c r="S11" s="9">
        <v>100.69827099999998</v>
      </c>
      <c r="T11" s="9">
        <v>151.289929</v>
      </c>
      <c r="U11" s="9">
        <v>87.41</v>
      </c>
      <c r="V11" s="9">
        <v>118.98099999999998</v>
      </c>
      <c r="W11" s="9">
        <v>145.17400000000004</v>
      </c>
      <c r="X11" s="9">
        <v>172.24999999999994</v>
      </c>
      <c r="Y11" s="9">
        <v>121.57799999999999</v>
      </c>
      <c r="Z11" s="9">
        <v>83.737000000000023</v>
      </c>
      <c r="AA11" s="9">
        <v>134.78500000000003</v>
      </c>
      <c r="AB11" s="9">
        <f>144.4-AB30</f>
        <v>142.709</v>
      </c>
      <c r="AC11" s="9">
        <f>78.3-AC30</f>
        <v>74.899999999999991</v>
      </c>
      <c r="AD11" s="9">
        <v>154</v>
      </c>
    </row>
    <row r="12" spans="1:30" x14ac:dyDescent="0.3">
      <c r="A12" s="1">
        <v>7</v>
      </c>
      <c r="B12" s="5" t="s">
        <v>65</v>
      </c>
      <c r="C12" s="9">
        <f t="shared" ref="C12:C18" si="1">+HLOOKUP($C$6,$H$6:$AN$18,A12,FALSE)</f>
        <v>-234.536</v>
      </c>
      <c r="D12" s="9">
        <f t="shared" si="0"/>
        <v>-284.3</v>
      </c>
      <c r="E12" s="40">
        <f t="shared" ref="E12:E16" si="2">+D12/C12-1</f>
        <v>0.21218064604154585</v>
      </c>
      <c r="H12" s="5" t="s">
        <v>65</v>
      </c>
      <c r="I12" s="9">
        <v>-83.1</v>
      </c>
      <c r="J12" s="9">
        <v>-47.1</v>
      </c>
      <c r="K12" s="9">
        <v>430.9</v>
      </c>
      <c r="L12" s="9">
        <v>-184</v>
      </c>
      <c r="M12" s="9">
        <v>-67.3</v>
      </c>
      <c r="N12" s="9">
        <v>-41.454999999999998</v>
      </c>
      <c r="O12" s="9">
        <v>-29.039999999999992</v>
      </c>
      <c r="P12" s="9">
        <v>-31.8</v>
      </c>
      <c r="Q12" s="9">
        <v>-73.321899999999999</v>
      </c>
      <c r="R12" s="9">
        <v>-333.88489999999996</v>
      </c>
      <c r="S12" s="9">
        <v>-281.13549999999998</v>
      </c>
      <c r="T12" s="9">
        <v>-20.301699999999993</v>
      </c>
      <c r="U12" s="9">
        <v>-71.287000000000006</v>
      </c>
      <c r="V12" s="9">
        <v>-73.373999999999995</v>
      </c>
      <c r="W12" s="9">
        <v>-26.250000000000018</v>
      </c>
      <c r="X12" s="9">
        <v>-133.18200000000002</v>
      </c>
      <c r="Y12" s="9">
        <v>-1.7210000000000001</v>
      </c>
      <c r="Z12" s="9">
        <v>-234.536</v>
      </c>
      <c r="AA12" s="9">
        <v>-11.242999999999999</v>
      </c>
      <c r="AB12" s="9">
        <f>+-117.3-AB31</f>
        <v>-143.55599999999998</v>
      </c>
      <c r="AC12" s="9">
        <f>+-36.1-AC31</f>
        <v>-22.200000000000003</v>
      </c>
      <c r="AD12" s="9">
        <v>-284.3</v>
      </c>
    </row>
    <row r="13" spans="1:30" x14ac:dyDescent="0.3">
      <c r="A13" s="1">
        <v>8</v>
      </c>
      <c r="B13" s="5" t="s">
        <v>70</v>
      </c>
      <c r="C13" s="9">
        <f t="shared" si="1"/>
        <v>-30.340000000000011</v>
      </c>
      <c r="D13" s="9">
        <f t="shared" si="0"/>
        <v>-18.999999999999996</v>
      </c>
      <c r="E13" s="39">
        <f t="shared" si="2"/>
        <v>-0.37376400791034969</v>
      </c>
      <c r="H13" s="5" t="s">
        <v>70</v>
      </c>
      <c r="I13" s="9">
        <v>-48.027000000000001</v>
      </c>
      <c r="J13" s="9">
        <v>-18.8</v>
      </c>
      <c r="K13" s="9">
        <v>-20.3</v>
      </c>
      <c r="L13" s="9">
        <v>-33.9</v>
      </c>
      <c r="M13" s="9">
        <v>-26.3</v>
      </c>
      <c r="N13" s="9">
        <v>-19.755999999999997</v>
      </c>
      <c r="O13" s="9">
        <v>-22.811000000000007</v>
      </c>
      <c r="P13" s="9">
        <v>-225</v>
      </c>
      <c r="Q13" s="9">
        <v>-27.2916144</v>
      </c>
      <c r="R13" s="9">
        <v>-35.178085600000003</v>
      </c>
      <c r="S13" s="9">
        <v>-70.541000000000011</v>
      </c>
      <c r="T13" s="9">
        <v>-61.438103630000001</v>
      </c>
      <c r="U13" s="9">
        <v>-36.849000000000004</v>
      </c>
      <c r="V13" s="9">
        <v>-27.785000000000032</v>
      </c>
      <c r="W13" s="9">
        <v>-32.204999999999977</v>
      </c>
      <c r="X13" s="9">
        <v>-22.740905450000017</v>
      </c>
      <c r="Y13" s="9">
        <v>-40.059999999999995</v>
      </c>
      <c r="Z13" s="9">
        <v>-30.340000000000011</v>
      </c>
      <c r="AA13" s="9">
        <v>-25.699999999999989</v>
      </c>
      <c r="AB13" s="9">
        <f>+-18-AB32</f>
        <v>32.133000000000003</v>
      </c>
      <c r="AC13" s="9">
        <f>+-17.6-AC32</f>
        <v>-17.100000000000001</v>
      </c>
      <c r="AD13" s="9">
        <v>-18.999999999999996</v>
      </c>
    </row>
    <row r="14" spans="1:30" x14ac:dyDescent="0.3">
      <c r="A14" s="1">
        <v>9</v>
      </c>
      <c r="B14" s="21" t="s">
        <v>66</v>
      </c>
      <c r="C14" s="22">
        <f t="shared" si="1"/>
        <v>-181.13899999999998</v>
      </c>
      <c r="D14" s="22">
        <f t="shared" si="0"/>
        <v>-149.30000000000001</v>
      </c>
      <c r="E14" s="63">
        <f t="shared" si="2"/>
        <v>-0.17577109291759352</v>
      </c>
      <c r="H14" s="21" t="s">
        <v>66</v>
      </c>
      <c r="I14" s="22">
        <v>-48</v>
      </c>
      <c r="J14" s="22">
        <v>130.9</v>
      </c>
      <c r="K14" s="22">
        <v>559.4</v>
      </c>
      <c r="L14" s="22">
        <v>-51.099999999999987</v>
      </c>
      <c r="M14" s="22">
        <v>-16.399999999999995</v>
      </c>
      <c r="N14" s="22">
        <v>96.135000000000005</v>
      </c>
      <c r="O14" s="22">
        <v>183.25</v>
      </c>
      <c r="P14" s="22">
        <v>-8.2833710000000167</v>
      </c>
      <c r="Q14" s="22">
        <v>-2.4379144000000226</v>
      </c>
      <c r="R14" s="22">
        <f t="shared" ref="R14" si="3">SUM(R11:R13)</f>
        <v>-217.23088559999997</v>
      </c>
      <c r="S14" s="22">
        <f t="shared" ref="S14" si="4">SUM(S11:S13)</f>
        <v>-250.978229</v>
      </c>
      <c r="T14" s="22">
        <f t="shared" ref="T14" si="5">SUM(T11:T13)</f>
        <v>69.550125370000018</v>
      </c>
      <c r="U14" s="22">
        <f t="shared" ref="U14" si="6">SUM(U11:U13)</f>
        <v>-20.726000000000013</v>
      </c>
      <c r="V14" s="22">
        <f t="shared" ref="V14:W14" si="7">SUM(V11:V13)</f>
        <v>17.821999999999953</v>
      </c>
      <c r="W14" s="22">
        <f t="shared" si="7"/>
        <v>86.719000000000051</v>
      </c>
      <c r="X14" s="22">
        <f t="shared" ref="X14:AD14" si="8">SUM(X11:X13)</f>
        <v>16.327094549999909</v>
      </c>
      <c r="Y14" s="22">
        <f t="shared" si="8"/>
        <v>79.796999999999997</v>
      </c>
      <c r="Z14" s="22">
        <f t="shared" si="8"/>
        <v>-181.13899999999998</v>
      </c>
      <c r="AA14" s="22">
        <f t="shared" si="8"/>
        <v>97.842000000000041</v>
      </c>
      <c r="AB14" s="22">
        <f t="shared" si="8"/>
        <v>31.286000000000023</v>
      </c>
      <c r="AC14" s="22">
        <f t="shared" si="8"/>
        <v>35.599999999999987</v>
      </c>
      <c r="AD14" s="22">
        <f t="shared" si="8"/>
        <v>-149.30000000000001</v>
      </c>
    </row>
    <row r="15" spans="1:30" ht="8.25" customHeight="1" x14ac:dyDescent="0.3">
      <c r="A15" s="1">
        <v>10</v>
      </c>
      <c r="I15" s="23"/>
      <c r="J15" s="23"/>
      <c r="K15" s="23"/>
      <c r="L15" s="23"/>
      <c r="M15" s="23"/>
      <c r="N15" s="23"/>
      <c r="O15" s="23"/>
      <c r="P15" s="23"/>
    </row>
    <row r="16" spans="1:30" x14ac:dyDescent="0.3">
      <c r="A16" s="1">
        <v>11</v>
      </c>
      <c r="B16" s="5" t="s">
        <v>67</v>
      </c>
      <c r="C16" s="9">
        <f t="shared" si="1"/>
        <v>-15.776</v>
      </c>
      <c r="D16" s="9">
        <f>+HLOOKUP($D$6,$H$6:$AN$18,A16,FALSE)</f>
        <v>-3.6</v>
      </c>
      <c r="E16" s="54">
        <f t="shared" si="2"/>
        <v>-0.77180527383367137</v>
      </c>
      <c r="H16" s="5" t="s">
        <v>67</v>
      </c>
      <c r="I16" s="9">
        <v>-4</v>
      </c>
      <c r="J16" s="9">
        <v>-1.8</v>
      </c>
      <c r="K16" s="9">
        <v>-18.600000000000001</v>
      </c>
      <c r="L16" s="9">
        <v>5.6</v>
      </c>
      <c r="M16" s="9">
        <v>0.3</v>
      </c>
      <c r="N16" s="9">
        <v>-0.34399999999999997</v>
      </c>
      <c r="O16" s="9">
        <v>-5.1320000000000006</v>
      </c>
      <c r="P16" s="9">
        <v>-1.5</v>
      </c>
      <c r="Q16" s="19">
        <v>6.6130000000000004</v>
      </c>
      <c r="R16" s="19">
        <v>2.4139999999999988</v>
      </c>
      <c r="S16" s="19">
        <v>0.44600000000000151</v>
      </c>
      <c r="T16" s="19">
        <v>-2.0370000000000008</v>
      </c>
      <c r="U16" s="19">
        <v>0.96800000000000008</v>
      </c>
      <c r="V16" s="9">
        <v>-0.37600000000000011</v>
      </c>
      <c r="W16" s="9">
        <v>3.2140000000000004</v>
      </c>
      <c r="X16" s="9">
        <v>8.4310000000000009</v>
      </c>
      <c r="Y16" s="9">
        <v>3.0279999999999996</v>
      </c>
      <c r="Z16" s="9">
        <v>-15.776</v>
      </c>
      <c r="AA16" s="9">
        <v>-2.8520000000000016</v>
      </c>
      <c r="AB16" s="9">
        <f>+-5.6-AB35</f>
        <v>-5.1214999999999993</v>
      </c>
      <c r="AC16" s="9">
        <f>3-AC35</f>
        <v>2.7</v>
      </c>
      <c r="AD16" s="9">
        <v>-3.6</v>
      </c>
    </row>
    <row r="17" spans="1:33" ht="8.25" customHeight="1" x14ac:dyDescent="0.3">
      <c r="A17" s="1">
        <v>12</v>
      </c>
      <c r="I17" s="23"/>
      <c r="J17" s="23"/>
      <c r="K17" s="23"/>
      <c r="L17" s="23"/>
      <c r="M17" s="23"/>
      <c r="N17" s="23"/>
      <c r="O17" s="23"/>
      <c r="P17" s="23"/>
    </row>
    <row r="18" spans="1:33" x14ac:dyDescent="0.3">
      <c r="A18" s="1">
        <v>13</v>
      </c>
      <c r="B18" s="6" t="s">
        <v>68</v>
      </c>
      <c r="C18" s="10">
        <f t="shared" si="1"/>
        <v>643.25541991999989</v>
      </c>
      <c r="D18" s="10">
        <f>+HLOOKUP($D$6,$H$6:$AN$18,A18,FALSE)</f>
        <v>649.84441991999995</v>
      </c>
      <c r="E18" s="12">
        <f>D18/C18-1</f>
        <v>1.0243209456081148E-2</v>
      </c>
      <c r="H18" s="6" t="s">
        <v>68</v>
      </c>
      <c r="I18" s="20">
        <v>208.29999999999998</v>
      </c>
      <c r="J18" s="20">
        <v>337.4</v>
      </c>
      <c r="K18" s="20">
        <v>878.3</v>
      </c>
      <c r="L18" s="20">
        <v>832.8</v>
      </c>
      <c r="M18" s="20">
        <v>816.69999999999993</v>
      </c>
      <c r="N18" s="20">
        <v>912.49099999999987</v>
      </c>
      <c r="O18" s="20">
        <v>1090.6089999999999</v>
      </c>
      <c r="P18" s="20">
        <v>1080.8256289999999</v>
      </c>
      <c r="Q18" s="10">
        <v>1042.8013145999998</v>
      </c>
      <c r="R18" s="10">
        <v>827.98442899999998</v>
      </c>
      <c r="S18" s="10">
        <v>577.45219999999995</v>
      </c>
      <c r="T18" s="10">
        <v>644.96532536999996</v>
      </c>
      <c r="U18" s="10">
        <f t="shared" ref="U18:Z18" si="9">U16+U14+U9</f>
        <v>625.20732536999992</v>
      </c>
      <c r="V18" s="10">
        <f t="shared" si="9"/>
        <v>642.6525878399998</v>
      </c>
      <c r="W18" s="10">
        <f t="shared" si="9"/>
        <v>732.58732536999992</v>
      </c>
      <c r="X18" s="10">
        <f t="shared" si="9"/>
        <v>757.34541991999981</v>
      </c>
      <c r="Y18" s="10">
        <f t="shared" si="9"/>
        <v>840.17041991999986</v>
      </c>
      <c r="Z18" s="10">
        <f t="shared" si="9"/>
        <v>643.25541991999989</v>
      </c>
      <c r="AA18" s="10">
        <f>AA16+AA14+AA9</f>
        <v>738.2454199199999</v>
      </c>
      <c r="AB18" s="10">
        <f>AB16+AB14+AB9</f>
        <v>764.40991991999988</v>
      </c>
      <c r="AC18" s="10">
        <f>AC16+AC14+AC9</f>
        <v>802.74441991999993</v>
      </c>
      <c r="AD18" s="10">
        <f>AD16+AD14+AD9</f>
        <v>649.84441991999995</v>
      </c>
    </row>
    <row r="23" spans="1:33" ht="23.25" x14ac:dyDescent="0.35">
      <c r="B23" s="13" t="s">
        <v>36</v>
      </c>
      <c r="C23" s="14"/>
      <c r="D23" s="14"/>
      <c r="E23" s="14"/>
      <c r="H23" s="13" t="s">
        <v>36</v>
      </c>
      <c r="I23" s="14"/>
      <c r="J23" s="14"/>
      <c r="K23" s="14"/>
      <c r="L23" s="14"/>
      <c r="M23" s="14"/>
      <c r="N23" s="14"/>
      <c r="O23" s="14"/>
      <c r="P23" s="14"/>
      <c r="Q23" s="14"/>
      <c r="R23" s="14"/>
      <c r="S23" s="14"/>
      <c r="T23" s="14"/>
      <c r="U23" s="14"/>
      <c r="V23" s="14"/>
      <c r="W23" s="14"/>
      <c r="X23" s="14"/>
      <c r="Y23" s="14"/>
      <c r="Z23" s="14"/>
      <c r="AA23" s="14"/>
      <c r="AB23" s="14"/>
      <c r="AC23" s="14"/>
      <c r="AD23" s="14"/>
    </row>
    <row r="25" spans="1:33" x14ac:dyDescent="0.3">
      <c r="A25" s="1">
        <v>1</v>
      </c>
      <c r="B25" s="3" t="s">
        <v>113</v>
      </c>
      <c r="C25" s="84" t="s">
        <v>110</v>
      </c>
      <c r="D25" s="84" t="s">
        <v>118</v>
      </c>
      <c r="E25" s="84" t="s">
        <v>29</v>
      </c>
      <c r="H25" s="3" t="s">
        <v>113</v>
      </c>
      <c r="I25" s="84" t="s">
        <v>55</v>
      </c>
      <c r="J25" s="84" t="s">
        <v>56</v>
      </c>
      <c r="K25" s="84" t="s">
        <v>57</v>
      </c>
      <c r="L25" s="84" t="s">
        <v>58</v>
      </c>
      <c r="M25" s="84" t="s">
        <v>59</v>
      </c>
      <c r="N25" s="84" t="s">
        <v>60</v>
      </c>
      <c r="O25" s="84" t="s">
        <v>61</v>
      </c>
      <c r="P25" s="84" t="s">
        <v>62</v>
      </c>
      <c r="Q25" s="84" t="s">
        <v>54</v>
      </c>
      <c r="R25" s="84" t="s">
        <v>53</v>
      </c>
      <c r="S25" s="84" t="s">
        <v>52</v>
      </c>
      <c r="T25" s="84" t="s">
        <v>51</v>
      </c>
      <c r="U25" s="84" t="s">
        <v>50</v>
      </c>
      <c r="V25" s="84" t="s">
        <v>49</v>
      </c>
      <c r="W25" s="84" t="s">
        <v>48</v>
      </c>
      <c r="X25" s="84" t="s">
        <v>99</v>
      </c>
      <c r="Y25" s="84" t="s">
        <v>102</v>
      </c>
      <c r="Z25" s="84" t="s">
        <v>110</v>
      </c>
      <c r="AA25" s="84" t="s">
        <v>111</v>
      </c>
      <c r="AB25" s="84" t="s">
        <v>112</v>
      </c>
      <c r="AC25" s="84" t="s">
        <v>114</v>
      </c>
      <c r="AD25" s="84" t="s">
        <v>118</v>
      </c>
    </row>
    <row r="26" spans="1:33" x14ac:dyDescent="0.3">
      <c r="A26" s="1">
        <v>2</v>
      </c>
      <c r="B26" s="3" t="s">
        <v>0</v>
      </c>
      <c r="C26" s="84"/>
      <c r="D26" s="84"/>
      <c r="E26" s="84"/>
      <c r="H26" s="3" t="s">
        <v>0</v>
      </c>
      <c r="I26" s="84"/>
      <c r="J26" s="84"/>
      <c r="K26" s="84"/>
      <c r="L26" s="84"/>
      <c r="M26" s="84"/>
      <c r="N26" s="84"/>
      <c r="O26" s="84"/>
      <c r="P26" s="84"/>
      <c r="Q26" s="84"/>
      <c r="R26" s="84"/>
      <c r="S26" s="84"/>
      <c r="T26" s="84"/>
      <c r="U26" s="84"/>
      <c r="V26" s="84"/>
      <c r="W26" s="84"/>
      <c r="X26" s="84"/>
      <c r="Y26" s="84"/>
      <c r="Z26" s="84"/>
      <c r="AA26" s="84"/>
      <c r="AB26" s="84"/>
      <c r="AC26" s="84"/>
      <c r="AD26" s="84"/>
    </row>
    <row r="27" spans="1:33" x14ac:dyDescent="0.3">
      <c r="A27" s="1">
        <v>3</v>
      </c>
    </row>
    <row r="28" spans="1:33" x14ac:dyDescent="0.3">
      <c r="A28" s="1">
        <v>4</v>
      </c>
      <c r="B28" s="6" t="s">
        <v>63</v>
      </c>
      <c r="C28" s="10">
        <f>+HLOOKUP($C$25,$H$25:$AN$37,A28,FALSE)</f>
        <v>40.570700000000002</v>
      </c>
      <c r="D28" s="10">
        <f>+HLOOKUP($D$25,$H$25:$AN$37,A28,FALSE)</f>
        <v>12.970700000000004</v>
      </c>
      <c r="E28" s="41">
        <f>D28/C28-1</f>
        <v>-0.68029390668635237</v>
      </c>
      <c r="H28" s="6" t="s">
        <v>63</v>
      </c>
      <c r="I28" s="20"/>
      <c r="J28" s="20"/>
      <c r="K28" s="20"/>
      <c r="L28" s="20"/>
      <c r="M28" s="20"/>
      <c r="N28" s="20"/>
      <c r="O28" s="20"/>
      <c r="P28" s="20"/>
      <c r="Q28" s="10">
        <v>42.199399999999997</v>
      </c>
      <c r="R28" s="10">
        <v>39.150300000000001</v>
      </c>
      <c r="S28" s="10">
        <v>40.120200000000004</v>
      </c>
      <c r="T28" s="10">
        <v>42.754200000000004</v>
      </c>
      <c r="U28" s="10">
        <v>22.031700000000008</v>
      </c>
      <c r="V28" s="10">
        <v>38.978700000000003</v>
      </c>
      <c r="W28" s="10">
        <v>37.817700000000002</v>
      </c>
      <c r="X28" s="10">
        <v>43.233699999999999</v>
      </c>
      <c r="Y28" s="10">
        <f>X37</f>
        <v>52.870699999999999</v>
      </c>
      <c r="Z28" s="10">
        <f>Y37</f>
        <v>40.570700000000002</v>
      </c>
      <c r="AA28" s="10">
        <f>Z37</f>
        <v>52.370699999999999</v>
      </c>
      <c r="AB28" s="10">
        <f>+AA37</f>
        <v>46.370699999999999</v>
      </c>
      <c r="AC28" s="10">
        <v>23.670700000000004</v>
      </c>
      <c r="AD28" s="10">
        <v>12.970700000000004</v>
      </c>
    </row>
    <row r="29" spans="1:33" ht="8.25" customHeight="1" x14ac:dyDescent="0.3">
      <c r="A29" s="1">
        <v>5</v>
      </c>
      <c r="I29" s="23"/>
      <c r="J29" s="23"/>
      <c r="K29" s="23"/>
      <c r="L29" s="23"/>
      <c r="M29" s="23"/>
      <c r="N29" s="23"/>
      <c r="O29" s="23"/>
      <c r="P29" s="23"/>
    </row>
    <row r="30" spans="1:33" x14ac:dyDescent="0.3">
      <c r="A30" s="1">
        <v>6</v>
      </c>
      <c r="B30" s="5" t="s">
        <v>64</v>
      </c>
      <c r="C30" s="9">
        <f t="shared" ref="C30:C37" si="10">+HLOOKUP($C$25,$H$25:$AN$37,A30,FALSE)</f>
        <v>15.1</v>
      </c>
      <c r="D30" s="9">
        <f t="shared" ref="D30:D37" si="11">+HLOOKUP($D$25,$H$25:$AN$37,A30,FALSE)</f>
        <v>20.7</v>
      </c>
      <c r="E30" s="40">
        <f>+D30/C30-1</f>
        <v>0.37086092715231778</v>
      </c>
      <c r="H30" s="5" t="s">
        <v>64</v>
      </c>
      <c r="I30" s="19"/>
      <c r="J30" s="19"/>
      <c r="K30" s="19"/>
      <c r="L30" s="19"/>
      <c r="M30" s="19"/>
      <c r="N30" s="19"/>
      <c r="O30" s="19"/>
      <c r="P30" s="19"/>
      <c r="Q30" s="9">
        <v>5.9664000000000001</v>
      </c>
      <c r="R30" s="9">
        <v>2.9929000000000006</v>
      </c>
      <c r="S30" s="9">
        <v>8.0600999999999985</v>
      </c>
      <c r="T30" s="9">
        <v>-1.1653000000000002</v>
      </c>
      <c r="U30" s="9">
        <v>24.838000000000001</v>
      </c>
      <c r="V30" s="9">
        <v>5.1729999999999983</v>
      </c>
      <c r="W30" s="9">
        <v>25.257000000000001</v>
      </c>
      <c r="X30" s="9">
        <v>21.855999999999995</v>
      </c>
      <c r="Y30" s="9">
        <v>9.1999999999999993</v>
      </c>
      <c r="Z30" s="9">
        <v>15.1</v>
      </c>
      <c r="AA30" s="9">
        <v>7.6</v>
      </c>
      <c r="AB30" s="9">
        <v>1.6910000000000025</v>
      </c>
      <c r="AC30" s="9">
        <v>3.4</v>
      </c>
      <c r="AD30" s="9">
        <v>20.7</v>
      </c>
      <c r="AG30" s="61"/>
    </row>
    <row r="31" spans="1:33" x14ac:dyDescent="0.3">
      <c r="A31" s="1">
        <v>7</v>
      </c>
      <c r="B31" s="5" t="s">
        <v>65</v>
      </c>
      <c r="C31" s="9">
        <f t="shared" si="10"/>
        <v>-0.7</v>
      </c>
      <c r="D31" s="9">
        <f t="shared" si="11"/>
        <v>-6.7</v>
      </c>
      <c r="E31" s="40">
        <f t="shared" ref="E31:E33" si="12">+D31/C31-1</f>
        <v>8.571428571428573</v>
      </c>
      <c r="H31" s="5" t="s">
        <v>65</v>
      </c>
      <c r="I31" s="19"/>
      <c r="J31" s="19"/>
      <c r="K31" s="19"/>
      <c r="L31" s="19"/>
      <c r="M31" s="19"/>
      <c r="N31" s="19"/>
      <c r="O31" s="19"/>
      <c r="P31" s="19"/>
      <c r="Q31" s="9">
        <v>-8.8450999999999986</v>
      </c>
      <c r="R31" s="9">
        <v>-0.5151</v>
      </c>
      <c r="S31" s="9">
        <v>-4.3264999999999993</v>
      </c>
      <c r="T31" s="9">
        <v>-18.684299999999997</v>
      </c>
      <c r="U31" s="9">
        <v>-4.7039999999999997</v>
      </c>
      <c r="V31" s="9">
        <v>-3.0090000000000003</v>
      </c>
      <c r="W31" s="9">
        <v>-17.099</v>
      </c>
      <c r="X31" s="9">
        <v>-9.5029999999999966</v>
      </c>
      <c r="Y31" s="9">
        <v>-18</v>
      </c>
      <c r="Z31" s="9">
        <v>-0.7</v>
      </c>
      <c r="AA31" s="9">
        <v>-13</v>
      </c>
      <c r="AB31" s="9">
        <v>26.256</v>
      </c>
      <c r="AC31" s="9">
        <v>-13.9</v>
      </c>
      <c r="AD31" s="9">
        <v>-6.7</v>
      </c>
      <c r="AG31" s="61"/>
    </row>
    <row r="32" spans="1:33" x14ac:dyDescent="0.3">
      <c r="A32" s="1">
        <v>8</v>
      </c>
      <c r="B32" s="5" t="s">
        <v>70</v>
      </c>
      <c r="C32" s="9">
        <f t="shared" si="10"/>
        <v>-1.9</v>
      </c>
      <c r="D32" s="9">
        <f t="shared" si="11"/>
        <v>-9.6999999999999993</v>
      </c>
      <c r="E32" s="40">
        <f t="shared" si="12"/>
        <v>4.1052631578947363</v>
      </c>
      <c r="H32" s="5" t="s">
        <v>70</v>
      </c>
      <c r="I32" s="19"/>
      <c r="J32" s="19"/>
      <c r="K32" s="19"/>
      <c r="L32" s="19"/>
      <c r="M32" s="19"/>
      <c r="N32" s="19"/>
      <c r="O32" s="19"/>
      <c r="P32" s="19"/>
      <c r="Q32" s="9">
        <v>-0.1704</v>
      </c>
      <c r="R32" s="9">
        <v>-1.5079</v>
      </c>
      <c r="S32" s="9">
        <v>-1.0996000000000001</v>
      </c>
      <c r="T32" s="9">
        <v>-0.87290000000000001</v>
      </c>
      <c r="U32" s="9">
        <v>-3.5649999999999999</v>
      </c>
      <c r="V32" s="9">
        <v>-3.3409999999999997</v>
      </c>
      <c r="W32" s="9">
        <v>-1.5170000000000003</v>
      </c>
      <c r="X32" s="9">
        <v>-1.0719999999999992</v>
      </c>
      <c r="Y32" s="9">
        <v>-2.1</v>
      </c>
      <c r="Z32" s="9">
        <v>-1.9</v>
      </c>
      <c r="AA32" s="9">
        <v>-0.5</v>
      </c>
      <c r="AB32" s="9">
        <v>-50.133000000000003</v>
      </c>
      <c r="AC32" s="9">
        <v>-0.5</v>
      </c>
      <c r="AD32" s="9">
        <v>-9.6999999999999993</v>
      </c>
      <c r="AG32" s="61"/>
    </row>
    <row r="33" spans="1:33" x14ac:dyDescent="0.3">
      <c r="A33" s="1">
        <v>9</v>
      </c>
      <c r="B33" s="21" t="s">
        <v>66</v>
      </c>
      <c r="C33" s="22">
        <f t="shared" si="10"/>
        <v>12.5</v>
      </c>
      <c r="D33" s="22">
        <f t="shared" si="11"/>
        <v>4.3000000000000007</v>
      </c>
      <c r="E33" s="64">
        <f t="shared" si="12"/>
        <v>-0.65599999999999992</v>
      </c>
      <c r="H33" s="21" t="s">
        <v>66</v>
      </c>
      <c r="I33" s="24"/>
      <c r="J33" s="24"/>
      <c r="K33" s="24"/>
      <c r="L33" s="24"/>
      <c r="M33" s="24"/>
      <c r="N33" s="24"/>
      <c r="O33" s="24"/>
      <c r="P33" s="24"/>
      <c r="Q33" s="22">
        <v>-3.0490999999999984</v>
      </c>
      <c r="R33" s="22">
        <v>0.96990000000000065</v>
      </c>
      <c r="S33" s="22">
        <f t="shared" ref="S33" si="13">SUM(S30:S32)</f>
        <v>2.633999999999999</v>
      </c>
      <c r="T33" s="22">
        <f t="shared" ref="T33" si="14">SUM(T30:T32)</f>
        <v>-20.722499999999997</v>
      </c>
      <c r="U33" s="22">
        <f t="shared" ref="U33" si="15">SUM(U30:U32)</f>
        <v>16.568999999999999</v>
      </c>
      <c r="V33" s="22">
        <f t="shared" ref="V33:X33" si="16">SUM(V30:V32)</f>
        <v>-1.1770000000000018</v>
      </c>
      <c r="W33" s="22">
        <f t="shared" si="16"/>
        <v>6.6410000000000009</v>
      </c>
      <c r="X33" s="22">
        <f t="shared" si="16"/>
        <v>11.280999999999999</v>
      </c>
      <c r="Y33" s="22">
        <f>SUM(Y30:Y32)</f>
        <v>-10.9</v>
      </c>
      <c r="Z33" s="22">
        <v>12.5</v>
      </c>
      <c r="AA33" s="22">
        <v>-5.9</v>
      </c>
      <c r="AB33" s="22">
        <f>+AB30+AB31+AB32</f>
        <v>-22.186</v>
      </c>
      <c r="AC33" s="22">
        <f>+AC30+AC31+AC32</f>
        <v>-11</v>
      </c>
      <c r="AD33" s="22">
        <f>+AD30+AD31+AD32</f>
        <v>4.3000000000000007</v>
      </c>
      <c r="AG33" s="61"/>
    </row>
    <row r="34" spans="1:33" ht="8.25" customHeight="1" x14ac:dyDescent="0.3">
      <c r="A34" s="1">
        <v>10</v>
      </c>
      <c r="I34" s="23"/>
      <c r="J34" s="23"/>
      <c r="K34" s="23"/>
      <c r="L34" s="23"/>
      <c r="M34" s="23"/>
      <c r="N34" s="23"/>
      <c r="O34" s="23"/>
      <c r="P34" s="23"/>
      <c r="AG34" s="61"/>
    </row>
    <row r="35" spans="1:33" x14ac:dyDescent="0.3">
      <c r="A35" s="1">
        <v>11</v>
      </c>
      <c r="B35" s="5" t="s">
        <v>67</v>
      </c>
      <c r="C35" s="9">
        <f t="shared" si="10"/>
        <v>-0.7</v>
      </c>
      <c r="D35" s="9">
        <f t="shared" si="11"/>
        <v>0.2</v>
      </c>
      <c r="E35" s="39">
        <f t="shared" ref="E35" si="17">+D35/C35-1</f>
        <v>-1.2857142857142858</v>
      </c>
      <c r="H35" s="5" t="s">
        <v>67</v>
      </c>
      <c r="I35" s="19"/>
      <c r="J35" s="19"/>
      <c r="K35" s="19"/>
      <c r="L35" s="19"/>
      <c r="M35" s="19"/>
      <c r="N35" s="19"/>
      <c r="O35" s="19"/>
      <c r="P35" s="19"/>
      <c r="Q35" s="19">
        <v>0</v>
      </c>
      <c r="R35" s="19">
        <v>0</v>
      </c>
      <c r="S35" s="19">
        <v>0</v>
      </c>
      <c r="T35" s="19">
        <v>0</v>
      </c>
      <c r="U35" s="19">
        <v>0.378</v>
      </c>
      <c r="V35" s="9">
        <v>1.6000000000000014E-2</v>
      </c>
      <c r="W35" s="9">
        <v>-1.2250000000000001</v>
      </c>
      <c r="X35" s="9">
        <v>-1.6440000000000001</v>
      </c>
      <c r="Y35" s="9">
        <v>-1.4</v>
      </c>
      <c r="Z35" s="9">
        <v>-0.7</v>
      </c>
      <c r="AA35" s="9">
        <v>-0.1</v>
      </c>
      <c r="AB35" s="9">
        <v>-0.47850000000000037</v>
      </c>
      <c r="AC35" s="9">
        <v>0.3</v>
      </c>
      <c r="AD35" s="9">
        <v>0.2</v>
      </c>
      <c r="AG35" s="61"/>
    </row>
    <row r="36" spans="1:33" ht="8.25" customHeight="1" x14ac:dyDescent="0.3">
      <c r="A36" s="1">
        <v>12</v>
      </c>
      <c r="I36" s="23"/>
      <c r="J36" s="23"/>
      <c r="K36" s="23"/>
      <c r="L36" s="23"/>
      <c r="M36" s="23"/>
      <c r="N36" s="23"/>
      <c r="O36" s="23"/>
      <c r="P36" s="23"/>
      <c r="AG36" s="61"/>
    </row>
    <row r="37" spans="1:33" x14ac:dyDescent="0.3">
      <c r="A37" s="1">
        <v>13</v>
      </c>
      <c r="B37" s="6" t="s">
        <v>68</v>
      </c>
      <c r="C37" s="10">
        <f t="shared" si="10"/>
        <v>52.370699999999999</v>
      </c>
      <c r="D37" s="10">
        <f t="shared" si="11"/>
        <v>17.470700000000004</v>
      </c>
      <c r="E37" s="41">
        <f>D37/C37-1</f>
        <v>-0.66640316054587767</v>
      </c>
      <c r="H37" s="6" t="s">
        <v>68</v>
      </c>
      <c r="I37" s="20"/>
      <c r="J37" s="20"/>
      <c r="K37" s="20"/>
      <c r="L37" s="20"/>
      <c r="M37" s="20"/>
      <c r="N37" s="20"/>
      <c r="O37" s="20"/>
      <c r="P37" s="20"/>
      <c r="Q37" s="10">
        <f t="shared" ref="Q37:X37" si="18">Q35+Q33+Q28</f>
        <v>39.150300000000001</v>
      </c>
      <c r="R37" s="10">
        <f t="shared" si="18"/>
        <v>40.120200000000004</v>
      </c>
      <c r="S37" s="10">
        <f t="shared" si="18"/>
        <v>42.754200000000004</v>
      </c>
      <c r="T37" s="10">
        <f t="shared" si="18"/>
        <v>22.031700000000008</v>
      </c>
      <c r="U37" s="10">
        <f t="shared" si="18"/>
        <v>38.978700000000003</v>
      </c>
      <c r="V37" s="10">
        <f t="shared" si="18"/>
        <v>37.817700000000002</v>
      </c>
      <c r="W37" s="10">
        <f t="shared" si="18"/>
        <v>43.233699999999999</v>
      </c>
      <c r="X37" s="10">
        <f t="shared" si="18"/>
        <v>52.870699999999999</v>
      </c>
      <c r="Y37" s="10">
        <f>Y35+Y33+Y28</f>
        <v>40.570700000000002</v>
      </c>
      <c r="Z37" s="10">
        <f>Z35+Z33+Z28</f>
        <v>52.370699999999999</v>
      </c>
      <c r="AA37" s="10">
        <f>AA35+AA33+AA28</f>
        <v>46.370699999999999</v>
      </c>
      <c r="AB37" s="10">
        <f>+AB28+AB33+AB35</f>
        <v>23.706199999999999</v>
      </c>
      <c r="AC37" s="10">
        <f>+AC28+AC33+AC35</f>
        <v>12.970700000000004</v>
      </c>
      <c r="AD37" s="10">
        <f>+AD28+AD33+AD35</f>
        <v>17.470700000000004</v>
      </c>
    </row>
  </sheetData>
  <mergeCells count="50">
    <mergeCell ref="AB6:AB7"/>
    <mergeCell ref="Y6:Y7"/>
    <mergeCell ref="Y25:Y26"/>
    <mergeCell ref="X6:X7"/>
    <mergeCell ref="X25:X26"/>
    <mergeCell ref="AA6:AA7"/>
    <mergeCell ref="AA25:AA26"/>
    <mergeCell ref="Z6:Z7"/>
    <mergeCell ref="Z25:Z26"/>
    <mergeCell ref="AB25:AB26"/>
    <mergeCell ref="T25:T26"/>
    <mergeCell ref="U25:U26"/>
    <mergeCell ref="W25:W26"/>
    <mergeCell ref="S6:S7"/>
    <mergeCell ref="T6:T7"/>
    <mergeCell ref="U6:U7"/>
    <mergeCell ref="V6:V7"/>
    <mergeCell ref="W6:W7"/>
    <mergeCell ref="R6:R7"/>
    <mergeCell ref="V25:V26"/>
    <mergeCell ref="C6:C7"/>
    <mergeCell ref="D6:D7"/>
    <mergeCell ref="E6:E7"/>
    <mergeCell ref="C25:C26"/>
    <mergeCell ref="D25:D26"/>
    <mergeCell ref="E25:E26"/>
    <mergeCell ref="I6:I7"/>
    <mergeCell ref="J6:J7"/>
    <mergeCell ref="K6:K7"/>
    <mergeCell ref="L6:L7"/>
    <mergeCell ref="M6:M7"/>
    <mergeCell ref="I25:I26"/>
    <mergeCell ref="J25:J26"/>
    <mergeCell ref="S25:S26"/>
    <mergeCell ref="AD6:AD7"/>
    <mergeCell ref="AD25:AD26"/>
    <mergeCell ref="AC6:AC7"/>
    <mergeCell ref="AC25:AC26"/>
    <mergeCell ref="K25:K26"/>
    <mergeCell ref="L25:L26"/>
    <mergeCell ref="M25:M26"/>
    <mergeCell ref="N25:N26"/>
    <mergeCell ref="O25:O26"/>
    <mergeCell ref="P25:P26"/>
    <mergeCell ref="Q25:Q26"/>
    <mergeCell ref="R25:R26"/>
    <mergeCell ref="N6:N7"/>
    <mergeCell ref="O6:O7"/>
    <mergeCell ref="P6:P7"/>
    <mergeCell ref="Q6:Q7"/>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Physical Sales &amp; Gx.</vt:lpstr>
      <vt:lpstr>Income Statement</vt:lpstr>
      <vt:lpstr>Operating Income</vt:lpstr>
      <vt:lpstr>Non-Operating Income</vt:lpstr>
      <vt:lpstr>Balance Sheet</vt:lpstr>
      <vt:lpstr>Main Debt Items</vt:lpstr>
      <vt:lpstr>Amortization Profile</vt:lpstr>
      <vt:lpstr>Cash Flow</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Verónica Pubill Comadrán</dc:creator>
  <cp:lastModifiedBy>Isidora Zaldivar Safian</cp:lastModifiedBy>
  <dcterms:created xsi:type="dcterms:W3CDTF">2017-12-05T18:05:13Z</dcterms:created>
  <dcterms:modified xsi:type="dcterms:W3CDTF">2019-08-22T13:08:49Z</dcterms:modified>
</cp:coreProperties>
</file>