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izaldivar\Documents\Datos Financieros Pagina Web\4Q20\"/>
    </mc:Choice>
  </mc:AlternateContent>
  <xr:revisionPtr revIDLastSave="0" documentId="13_ncr:1_{D5C2D57B-CF40-40CA-943F-12F5B7EA17B4}" xr6:coauthVersionLast="45" xr6:coauthVersionMax="45" xr10:uidLastSave="{00000000-0000-0000-0000-000000000000}"/>
  <bookViews>
    <workbookView xWindow="13965" yWindow="75" windowWidth="15975" windowHeight="15480" tabRatio="723" firstSheet="4" activeTab="6"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23" i="3" l="1"/>
  <c r="AI21" i="3"/>
  <c r="AI23" i="3"/>
  <c r="AI47" i="3" l="1"/>
  <c r="AJ47" i="3"/>
  <c r="S47" i="3"/>
  <c r="T47" i="3"/>
  <c r="R47" i="3"/>
  <c r="Q47" i="3"/>
  <c r="AJ46" i="3" l="1"/>
  <c r="E17" i="2"/>
  <c r="AJ37" i="5" l="1"/>
  <c r="AJ16" i="5"/>
  <c r="AJ13" i="5"/>
  <c r="AJ12" i="5"/>
  <c r="AJ11" i="5"/>
  <c r="AJ9" i="5"/>
  <c r="AJ33" i="5"/>
  <c r="AI12" i="7"/>
  <c r="AI24" i="7"/>
  <c r="AI10" i="7" s="1"/>
  <c r="AI23" i="7"/>
  <c r="AH11" i="7"/>
  <c r="D37" i="4"/>
  <c r="D35" i="4"/>
  <c r="D34" i="4"/>
  <c r="D33" i="4"/>
  <c r="D31" i="4"/>
  <c r="D29" i="4"/>
  <c r="D28" i="4"/>
  <c r="X16" i="4"/>
  <c r="X15" i="4"/>
  <c r="X14" i="4"/>
  <c r="X10" i="4"/>
  <c r="X9" i="4"/>
  <c r="X37" i="4"/>
  <c r="X31" i="4"/>
  <c r="AI9" i="7" l="1"/>
  <c r="AI11" i="7" s="1"/>
  <c r="AI13" i="7" s="1"/>
  <c r="AI25" i="7"/>
  <c r="AI27" i="7" s="1"/>
  <c r="AJ14" i="5"/>
  <c r="AJ18" i="5"/>
  <c r="X18" i="4" l="1"/>
  <c r="X12" i="4"/>
  <c r="AJ19" i="3"/>
  <c r="AJ17" i="3"/>
  <c r="AJ13" i="3"/>
  <c r="AJ11" i="3"/>
  <c r="AJ10" i="3"/>
  <c r="AJ9" i="3"/>
  <c r="AF46" i="3"/>
  <c r="AJ44" i="3"/>
  <c r="AJ38" i="3"/>
  <c r="AJ21" i="3" l="1"/>
  <c r="AJ15" i="3"/>
  <c r="E11" i="2"/>
  <c r="E12" i="2"/>
  <c r="E13" i="2"/>
  <c r="AJ33" i="2"/>
  <c r="AG31" i="2"/>
  <c r="AH31" i="2"/>
  <c r="AI31" i="2"/>
  <c r="AJ31" i="2"/>
  <c r="AJ29" i="2"/>
  <c r="AJ28" i="2"/>
  <c r="AJ27" i="2"/>
  <c r="AJ25" i="2"/>
  <c r="AJ17" i="2"/>
  <c r="AJ22" i="2"/>
  <c r="AJ23" i="2"/>
  <c r="AJ20" i="2"/>
  <c r="AJ19" i="2"/>
  <c r="AJ18" i="2"/>
  <c r="AJ15" i="2"/>
  <c r="AJ13" i="2"/>
  <c r="AJ12" i="2"/>
  <c r="AJ10" i="2" s="1"/>
  <c r="AJ11" i="2"/>
  <c r="AJ85" i="2"/>
  <c r="AJ83" i="2"/>
  <c r="AJ77" i="2"/>
  <c r="AJ70" i="2"/>
  <c r="AJ63" i="2"/>
  <c r="U43" i="1"/>
  <c r="V43" i="1"/>
  <c r="W43" i="1"/>
  <c r="X43" i="1"/>
  <c r="U39" i="1"/>
  <c r="V39" i="1"/>
  <c r="W39" i="1"/>
  <c r="X39" i="1"/>
  <c r="U37" i="1"/>
  <c r="V37" i="1"/>
  <c r="W37" i="1"/>
  <c r="X37" i="1"/>
  <c r="U29" i="1"/>
  <c r="V29" i="1"/>
  <c r="W29" i="1"/>
  <c r="X29" i="1"/>
  <c r="U27" i="1"/>
  <c r="V27" i="1"/>
  <c r="W27" i="1"/>
  <c r="X27" i="1"/>
  <c r="U21" i="1"/>
  <c r="V21" i="1"/>
  <c r="W21" i="1"/>
  <c r="X21" i="1"/>
  <c r="U13" i="1"/>
  <c r="V13" i="1"/>
  <c r="W13" i="1"/>
  <c r="X13" i="1"/>
  <c r="X9" i="1"/>
  <c r="E49" i="6"/>
  <c r="AJ51" i="6"/>
  <c r="AJ46" i="6"/>
  <c r="AJ39" i="6"/>
  <c r="AJ17" i="6"/>
  <c r="AJ29" i="6"/>
  <c r="AJ24" i="6"/>
  <c r="AJ20" i="6"/>
  <c r="AJ9" i="6"/>
  <c r="C25" i="6"/>
  <c r="C26" i="6"/>
  <c r="C13" i="6"/>
  <c r="AB70" i="2" l="1"/>
  <c r="AB21" i="2"/>
  <c r="AB23" i="2"/>
  <c r="AB20" i="2"/>
  <c r="AB19" i="2"/>
  <c r="AB18" i="2"/>
  <c r="AB15" i="2"/>
  <c r="AB13" i="2"/>
  <c r="AB12" i="2"/>
  <c r="AB11" i="2"/>
  <c r="AD20" i="2"/>
  <c r="AD19" i="2"/>
  <c r="AD23" i="2"/>
  <c r="AD18" i="2"/>
  <c r="AI37" i="5" l="1"/>
  <c r="AG28" i="5"/>
  <c r="AG9" i="5"/>
  <c r="AE9" i="5"/>
  <c r="J9" i="5"/>
  <c r="K9" i="5"/>
  <c r="L9" i="5"/>
  <c r="M9" i="5"/>
  <c r="N9" i="5"/>
  <c r="O9" i="5"/>
  <c r="P9" i="5"/>
  <c r="Q9" i="5"/>
  <c r="R9" i="5"/>
  <c r="S9" i="5"/>
  <c r="T9" i="5"/>
  <c r="U9" i="5"/>
  <c r="P12" i="7"/>
  <c r="Q12" i="7"/>
  <c r="R12" i="7"/>
  <c r="S12" i="7"/>
  <c r="T12" i="7"/>
  <c r="U12" i="7"/>
  <c r="V12" i="7"/>
  <c r="W12" i="7"/>
  <c r="X12" i="7"/>
  <c r="Y12" i="7"/>
  <c r="Z12" i="7"/>
  <c r="AG12" i="7"/>
  <c r="AH12" i="7"/>
  <c r="AH26" i="7"/>
  <c r="AE9" i="3" l="1"/>
  <c r="AI11" i="2"/>
  <c r="L29" i="1"/>
  <c r="M29" i="1"/>
  <c r="N29" i="1"/>
  <c r="O29" i="1"/>
  <c r="P29" i="1"/>
  <c r="K29" i="1"/>
  <c r="J29" i="1"/>
  <c r="I29" i="1"/>
  <c r="AI16" i="5" l="1"/>
  <c r="AI14" i="5"/>
  <c r="AI13" i="5"/>
  <c r="AI12" i="5"/>
  <c r="AI11" i="5"/>
  <c r="AI33" i="5"/>
  <c r="AH13" i="7" l="1"/>
  <c r="AH10" i="7"/>
  <c r="AH9" i="7"/>
  <c r="AH27" i="7"/>
  <c r="W37" i="4"/>
  <c r="W16" i="4"/>
  <c r="W18" i="4"/>
  <c r="W15" i="4"/>
  <c r="W14" i="4"/>
  <c r="W10" i="4"/>
  <c r="W9" i="4"/>
  <c r="W31" i="4"/>
  <c r="W12" i="4"/>
  <c r="AI17" i="3"/>
  <c r="AI10" i="3"/>
  <c r="AI15" i="3" s="1"/>
  <c r="AI13" i="3"/>
  <c r="AI11" i="3"/>
  <c r="AI9" i="3"/>
  <c r="AI38" i="3"/>
  <c r="AH17" i="3" l="1"/>
  <c r="AI33" i="2" l="1"/>
  <c r="AI25" i="2"/>
  <c r="AI29" i="2"/>
  <c r="AI28" i="2"/>
  <c r="AI27" i="2"/>
  <c r="AI22" i="2"/>
  <c r="AI20" i="2"/>
  <c r="AI19" i="2"/>
  <c r="AI18" i="2"/>
  <c r="AI17" i="2" s="1"/>
  <c r="AI15" i="2"/>
  <c r="AI13" i="2"/>
  <c r="AI12" i="2"/>
  <c r="AI83" i="2"/>
  <c r="AI70" i="2"/>
  <c r="AI63" i="2"/>
  <c r="W9" i="1"/>
  <c r="AI51" i="6"/>
  <c r="AI46" i="6"/>
  <c r="AI39" i="6"/>
  <c r="AI24" i="6"/>
  <c r="AI17" i="6" s="1"/>
  <c r="AI29" i="6"/>
  <c r="AI20" i="6"/>
  <c r="AI9" i="6"/>
  <c r="AI10" i="2" l="1"/>
  <c r="AH12" i="5"/>
  <c r="AH11" i="5"/>
  <c r="AH16" i="5" l="1"/>
  <c r="AH14" i="5"/>
  <c r="AH13" i="5"/>
  <c r="AH33" i="5"/>
  <c r="AG10" i="7" l="1"/>
  <c r="AG11" i="7" s="1"/>
  <c r="AG9" i="7"/>
  <c r="AG25" i="7"/>
  <c r="V16" i="4"/>
  <c r="V15" i="4"/>
  <c r="V14" i="4"/>
  <c r="V18" i="4" s="1"/>
  <c r="V12" i="4"/>
  <c r="V10" i="4"/>
  <c r="V9" i="4"/>
  <c r="V37" i="4"/>
  <c r="V31" i="4"/>
  <c r="D47" i="3"/>
  <c r="C47" i="3"/>
  <c r="AH46" i="3"/>
  <c r="AH21" i="3"/>
  <c r="AH13" i="3"/>
  <c r="AH11" i="3"/>
  <c r="AH10" i="3"/>
  <c r="AH9" i="3"/>
  <c r="AH38" i="3"/>
  <c r="AH15" i="3" l="1"/>
  <c r="E41" i="2" l="1"/>
  <c r="AH33" i="2"/>
  <c r="AH29" i="2"/>
  <c r="AH28" i="2"/>
  <c r="AH27" i="2"/>
  <c r="AH23" i="2"/>
  <c r="AH21" i="2"/>
  <c r="AH20" i="2"/>
  <c r="AH19" i="2"/>
  <c r="AH18" i="2"/>
  <c r="AH15" i="2"/>
  <c r="AH13" i="2"/>
  <c r="AH12" i="2"/>
  <c r="AH11" i="2"/>
  <c r="AH10" i="2" s="1"/>
  <c r="AH70" i="2"/>
  <c r="AH63" i="2"/>
  <c r="D29" i="1"/>
  <c r="V9" i="1"/>
  <c r="AH39" i="6"/>
  <c r="AH51" i="6"/>
  <c r="AH46" i="6"/>
  <c r="AH29" i="6"/>
  <c r="AH24" i="6"/>
  <c r="AH20" i="6"/>
  <c r="AH17" i="6" s="1"/>
  <c r="AH9" i="6"/>
  <c r="AH77" i="2" l="1"/>
  <c r="AH83" i="2" s="1"/>
  <c r="AH17" i="2"/>
  <c r="AH25" i="2" s="1"/>
  <c r="U46" i="3"/>
  <c r="U21" i="3"/>
  <c r="V46" i="3"/>
  <c r="W46" i="3"/>
  <c r="X46" i="3"/>
  <c r="Y46" i="3"/>
  <c r="Z46" i="3"/>
  <c r="AA46" i="3"/>
  <c r="V21" i="3" l="1"/>
  <c r="W21" i="3"/>
  <c r="X21" i="3"/>
  <c r="Y21" i="3"/>
  <c r="Z21" i="3"/>
  <c r="AA21" i="3"/>
  <c r="AD21" i="3"/>
  <c r="AF21" i="3"/>
  <c r="AF23" i="2" l="1"/>
  <c r="AF21" i="2"/>
  <c r="AF20" i="2"/>
  <c r="AF19" i="2"/>
  <c r="AF18" i="2"/>
  <c r="AF15" i="2"/>
  <c r="AF14" i="2"/>
  <c r="AF13" i="2"/>
  <c r="AF12" i="2"/>
  <c r="AF11" i="2"/>
  <c r="AF10" i="2" l="1"/>
  <c r="R46" i="3" l="1"/>
  <c r="S46" i="3"/>
  <c r="T46" i="3"/>
  <c r="Q46" i="3"/>
  <c r="AG12" i="2"/>
  <c r="AG11" i="2"/>
  <c r="AG13" i="2"/>
  <c r="C46" i="1"/>
  <c r="AG39" i="6"/>
  <c r="D39" i="6"/>
  <c r="AG16" i="5" l="1"/>
  <c r="AG14" i="5"/>
  <c r="AG13" i="5"/>
  <c r="AG12" i="5"/>
  <c r="AG11" i="5"/>
  <c r="AG37" i="5"/>
  <c r="AH28" i="5" s="1"/>
  <c r="AH37" i="5" s="1"/>
  <c r="AI28" i="5" s="1"/>
  <c r="AG33" i="5"/>
  <c r="AF10" i="7" l="1"/>
  <c r="AF9" i="7"/>
  <c r="AF25" i="7"/>
  <c r="AF27" i="7" s="1"/>
  <c r="U16" i="4"/>
  <c r="U15" i="4"/>
  <c r="U14" i="4"/>
  <c r="U18" i="4" s="1"/>
  <c r="U10" i="4"/>
  <c r="U9" i="4"/>
  <c r="U12" i="4" s="1"/>
  <c r="U37" i="4"/>
  <c r="U31" i="4"/>
  <c r="AG17" i="3"/>
  <c r="AG21" i="3" s="1"/>
  <c r="AC17" i="3"/>
  <c r="AC21" i="3" s="1"/>
  <c r="AG13" i="3"/>
  <c r="AG11" i="3"/>
  <c r="AG10" i="3"/>
  <c r="AG9" i="3"/>
  <c r="AC13" i="3"/>
  <c r="AC11" i="3"/>
  <c r="AC10" i="3"/>
  <c r="AC9" i="3"/>
  <c r="AC15" i="3" s="1"/>
  <c r="AD44" i="3"/>
  <c r="AD46" i="3" s="1"/>
  <c r="C46" i="3" s="1"/>
  <c r="AE44" i="3"/>
  <c r="AE46" i="3" s="1"/>
  <c r="AF44" i="3"/>
  <c r="AG44" i="3"/>
  <c r="AG46" i="3" s="1"/>
  <c r="AD38" i="3"/>
  <c r="AE38" i="3"/>
  <c r="AF38" i="3"/>
  <c r="AG38" i="3"/>
  <c r="AF11" i="7" l="1"/>
  <c r="AD15" i="3"/>
  <c r="AG15" i="3"/>
  <c r="AG29" i="2"/>
  <c r="AG28" i="2"/>
  <c r="AG27" i="2"/>
  <c r="AC29" i="2"/>
  <c r="AC28" i="2"/>
  <c r="AC27" i="2"/>
  <c r="AG23" i="2" l="1"/>
  <c r="AG20" i="2"/>
  <c r="AG21" i="2"/>
  <c r="AG19" i="2"/>
  <c r="AG18" i="2"/>
  <c r="AC23" i="2"/>
  <c r="AC21" i="2"/>
  <c r="AC20" i="2"/>
  <c r="AC19" i="2"/>
  <c r="AC18" i="2"/>
  <c r="AD17" i="2"/>
  <c r="AE17" i="2"/>
  <c r="AF17" i="2"/>
  <c r="AG15" i="2"/>
  <c r="AG14" i="2"/>
  <c r="AC15" i="2"/>
  <c r="AC13" i="2"/>
  <c r="AC14" i="2"/>
  <c r="AC12" i="2"/>
  <c r="AC11" i="2"/>
  <c r="AD10" i="2"/>
  <c r="AE10" i="2"/>
  <c r="AG10" i="2"/>
  <c r="AG70" i="2"/>
  <c r="AG77" i="2" s="1"/>
  <c r="AG83" i="2" s="1"/>
  <c r="AG85" i="2" s="1"/>
  <c r="AG33" i="2" s="1"/>
  <c r="AG63" i="2"/>
  <c r="R37" i="1"/>
  <c r="S37" i="1"/>
  <c r="T37" i="1"/>
  <c r="R13" i="1"/>
  <c r="S13" i="1"/>
  <c r="T13" i="1"/>
  <c r="R9" i="1"/>
  <c r="R21" i="1" s="1"/>
  <c r="S9" i="1"/>
  <c r="T9" i="1"/>
  <c r="U9" i="1"/>
  <c r="AD51" i="6"/>
  <c r="AE51" i="6"/>
  <c r="AF51" i="6"/>
  <c r="AG51" i="6"/>
  <c r="AD46" i="6"/>
  <c r="AE46" i="6"/>
  <c r="AF46" i="6"/>
  <c r="AG46" i="6"/>
  <c r="AG29" i="6"/>
  <c r="AG24" i="6"/>
  <c r="AG20" i="6"/>
  <c r="AG9" i="6"/>
  <c r="R27" i="1" l="1"/>
  <c r="R29" i="1"/>
  <c r="S21" i="1"/>
  <c r="AG17" i="6"/>
  <c r="T21" i="1"/>
  <c r="AG17" i="2"/>
  <c r="AG25" i="2" s="1"/>
  <c r="R39" i="1"/>
  <c r="R43" i="1" s="1"/>
  <c r="P9" i="1"/>
  <c r="S27" i="1" l="1"/>
  <c r="S39" i="1" s="1"/>
  <c r="S43" i="1" s="1"/>
  <c r="S29" i="1"/>
  <c r="T27" i="1"/>
  <c r="T39" i="1" s="1"/>
  <c r="T43" i="1" s="1"/>
  <c r="T29" i="1"/>
  <c r="AE25" i="7"/>
  <c r="AE11" i="7" l="1"/>
  <c r="U25" i="7" l="1"/>
  <c r="AD25" i="7"/>
  <c r="D31" i="5"/>
  <c r="AF33" i="5"/>
  <c r="AF37" i="5" s="1"/>
  <c r="D9" i="4"/>
  <c r="T37" i="4"/>
  <c r="T31" i="4"/>
  <c r="D9" i="3"/>
  <c r="D10" i="2"/>
  <c r="AF70" i="2"/>
  <c r="T12" i="4" l="1"/>
  <c r="AF15" i="3"/>
  <c r="AF14" i="5"/>
  <c r="T18" i="4"/>
  <c r="AF25" i="2" l="1"/>
  <c r="AF31" i="2" l="1"/>
  <c r="AF33" i="2" s="1"/>
  <c r="AF63" i="2"/>
  <c r="AF77" i="2" s="1"/>
  <c r="AF83" i="2" s="1"/>
  <c r="AF85" i="2" s="1"/>
  <c r="D65" i="2"/>
  <c r="D64" i="2"/>
  <c r="AF39" i="6" l="1"/>
  <c r="AF20" i="6"/>
  <c r="AF29" i="6"/>
  <c r="AF24" i="6"/>
  <c r="C24" i="6" s="1"/>
  <c r="AF9" i="6"/>
  <c r="U29" i="6"/>
  <c r="AF17" i="6" l="1"/>
  <c r="AE17" i="3" l="1"/>
  <c r="C64" i="2" l="1"/>
  <c r="C65" i="2"/>
  <c r="C66" i="2"/>
  <c r="C67" i="2"/>
  <c r="O10" i="1"/>
  <c r="AE16" i="5" l="1"/>
  <c r="AE13" i="5"/>
  <c r="AE33" i="5"/>
  <c r="AE37" i="5" s="1"/>
  <c r="AE12" i="5"/>
  <c r="AE11" i="5"/>
  <c r="AD10" i="7"/>
  <c r="AD9" i="7"/>
  <c r="AD11" i="7" s="1"/>
  <c r="S16" i="4"/>
  <c r="S15" i="4"/>
  <c r="S14" i="4"/>
  <c r="S18" i="4" s="1"/>
  <c r="S10" i="4"/>
  <c r="S9" i="4"/>
  <c r="S37" i="4"/>
  <c r="S31" i="4"/>
  <c r="AE21" i="3"/>
  <c r="AE13" i="3"/>
  <c r="AE11" i="3"/>
  <c r="AE10" i="3"/>
  <c r="AE15" i="3"/>
  <c r="AE14" i="5" l="1"/>
  <c r="AE18" i="5" s="1"/>
  <c r="S12" i="4"/>
  <c r="AF18" i="5" l="1"/>
  <c r="AE70" i="2"/>
  <c r="AE63" i="2"/>
  <c r="AG18" i="5" l="1"/>
  <c r="AH9" i="5" s="1"/>
  <c r="AE77" i="2"/>
  <c r="AE83" i="2" s="1"/>
  <c r="AE85" i="2" s="1"/>
  <c r="AG26" i="7" s="1"/>
  <c r="D63" i="2"/>
  <c r="AE39" i="6"/>
  <c r="AE29" i="6"/>
  <c r="AE24" i="6"/>
  <c r="AE20" i="6"/>
  <c r="AE9" i="6"/>
  <c r="AH18" i="5" l="1"/>
  <c r="AI9" i="5" s="1"/>
  <c r="AI18" i="5" s="1"/>
  <c r="AE17" i="6"/>
  <c r="AG27" i="7"/>
  <c r="C25" i="7"/>
  <c r="C24" i="7"/>
  <c r="C23" i="7"/>
  <c r="B24" i="7"/>
  <c r="B23" i="7"/>
  <c r="C11" i="7"/>
  <c r="C10" i="7"/>
  <c r="C9" i="7"/>
  <c r="AE25" i="2" l="1"/>
  <c r="AE31" i="2" s="1"/>
  <c r="AE33" i="2" s="1"/>
  <c r="E51" i="2"/>
  <c r="E50" i="2"/>
  <c r="E46" i="2"/>
  <c r="D44" i="2"/>
  <c r="C44" i="2"/>
  <c r="D40" i="2"/>
  <c r="C40" i="2"/>
  <c r="E29" i="2"/>
  <c r="E28" i="2"/>
  <c r="E27" i="2"/>
  <c r="E23" i="2"/>
  <c r="E22" i="2"/>
  <c r="E21" i="2"/>
  <c r="E20" i="2"/>
  <c r="E19" i="2"/>
  <c r="E18" i="2"/>
  <c r="E15" i="2"/>
  <c r="D17" i="2"/>
  <c r="D25" i="2" s="1"/>
  <c r="C17" i="2"/>
  <c r="C25" i="2" s="1"/>
  <c r="C48" i="2" l="1"/>
  <c r="E44" i="2"/>
  <c r="E40" i="2"/>
  <c r="C31" i="2"/>
  <c r="C33" i="2" s="1"/>
  <c r="E10" i="2"/>
  <c r="D48" i="2"/>
  <c r="D31" i="2"/>
  <c r="D33" i="2" s="1"/>
  <c r="D35" i="5"/>
  <c r="D32" i="5"/>
  <c r="D30" i="5"/>
  <c r="D28" i="5"/>
  <c r="C35" i="5"/>
  <c r="C32" i="5"/>
  <c r="C31" i="5"/>
  <c r="E31" i="5" s="1"/>
  <c r="C30" i="5"/>
  <c r="D16" i="5"/>
  <c r="D14" i="5"/>
  <c r="D13" i="5"/>
  <c r="D12" i="5"/>
  <c r="D11" i="5"/>
  <c r="D9" i="5"/>
  <c r="AD14" i="5"/>
  <c r="AD33" i="5"/>
  <c r="E35" i="5" l="1"/>
  <c r="D33" i="5"/>
  <c r="AD37" i="5"/>
  <c r="D37" i="5" s="1"/>
  <c r="E25" i="2"/>
  <c r="C53" i="2"/>
  <c r="C55" i="2" s="1"/>
  <c r="E48" i="2"/>
  <c r="D53" i="2"/>
  <c r="E33" i="2"/>
  <c r="E31" i="2"/>
  <c r="AC25" i="7"/>
  <c r="E53" i="2" l="1"/>
  <c r="D55" i="2"/>
  <c r="E55" i="2" s="1"/>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D84" i="2" l="1"/>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E71" i="2" l="1"/>
  <c r="E65" i="2"/>
  <c r="AD70" i="2"/>
  <c r="D70" i="2" s="1"/>
  <c r="AD63" i="2"/>
  <c r="D21" i="1"/>
  <c r="D46" i="1"/>
  <c r="D45" i="1"/>
  <c r="D43" i="1"/>
  <c r="D41" i="1"/>
  <c r="D39" i="1"/>
  <c r="D37" i="1"/>
  <c r="D35" i="1"/>
  <c r="D34" i="1"/>
  <c r="D33" i="1"/>
  <c r="D32" i="1"/>
  <c r="D31" i="1"/>
  <c r="D28" i="1"/>
  <c r="D27" i="1"/>
  <c r="D25" i="1"/>
  <c r="D24" i="1"/>
  <c r="D23" i="1"/>
  <c r="D22" i="1"/>
  <c r="D19" i="1"/>
  <c r="D18" i="1"/>
  <c r="D17" i="1"/>
  <c r="D16" i="1"/>
  <c r="D15" i="1"/>
  <c r="D14" i="1"/>
  <c r="D13" i="1"/>
  <c r="D11" i="1"/>
  <c r="D10" i="1"/>
  <c r="D9" i="1"/>
  <c r="C45" i="1"/>
  <c r="C41" i="1"/>
  <c r="C35" i="1"/>
  <c r="C34" i="1"/>
  <c r="C33" i="1"/>
  <c r="C32" i="1"/>
  <c r="C31" i="1"/>
  <c r="C29"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9" i="6"/>
  <c r="E41" i="6" l="1"/>
  <c r="E35" i="1"/>
  <c r="E15" i="1"/>
  <c r="E42" i="6"/>
  <c r="AD17" i="6"/>
  <c r="AD77" i="2"/>
  <c r="AD25" i="2"/>
  <c r="AD31" i="2" s="1"/>
  <c r="AD33" i="2" s="1"/>
  <c r="A10" i="6"/>
  <c r="A11" i="6" s="1"/>
  <c r="AF12" i="7" l="1"/>
  <c r="AF13" i="7" s="1"/>
  <c r="AE12" i="7"/>
  <c r="A12" i="6"/>
  <c r="D11" i="6"/>
  <c r="C11" i="6"/>
  <c r="AD83" i="2"/>
  <c r="D77"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5" i="2"/>
  <c r="D85" i="2" s="1"/>
  <c r="D83" i="2"/>
  <c r="N21" i="1"/>
  <c r="C9" i="1"/>
  <c r="K21" i="1"/>
  <c r="K27" i="1" s="1"/>
  <c r="K39" i="1" s="1"/>
  <c r="K43" i="1" s="1"/>
  <c r="O21" i="1"/>
  <c r="O27" i="1" s="1"/>
  <c r="O39" i="1" s="1"/>
  <c r="O43" i="1" s="1"/>
  <c r="Q21" i="1"/>
  <c r="J39" i="1"/>
  <c r="J43" i="1" s="1"/>
  <c r="L39" i="1"/>
  <c r="L43" i="1" s="1"/>
  <c r="P39" i="1"/>
  <c r="P43" i="1" s="1"/>
  <c r="I39" i="1"/>
  <c r="I43" i="1" s="1"/>
  <c r="M39" i="1"/>
  <c r="M43" i="1" s="1"/>
  <c r="AC46" i="6"/>
  <c r="Q27" i="1" l="1"/>
  <c r="Q39" i="1" s="1"/>
  <c r="Q43" i="1" s="1"/>
  <c r="Q29" i="1"/>
  <c r="A14" i="6"/>
  <c r="D13" i="6"/>
  <c r="N27" i="1"/>
  <c r="C21" i="1"/>
  <c r="AC16" i="5"/>
  <c r="AC13" i="5"/>
  <c r="AC12" i="5"/>
  <c r="AC11" i="5"/>
  <c r="AC33" i="5"/>
  <c r="AC37" i="5" s="1"/>
  <c r="AB9" i="7"/>
  <c r="AB10" i="7"/>
  <c r="AB25" i="7"/>
  <c r="B25" i="7" s="1"/>
  <c r="Q16" i="4"/>
  <c r="Q15" i="4"/>
  <c r="Q14" i="4"/>
  <c r="Q10" i="4"/>
  <c r="Q9" i="4"/>
  <c r="Q31" i="4"/>
  <c r="Q37" i="4"/>
  <c r="AC44" i="3"/>
  <c r="AC46" i="3" s="1"/>
  <c r="AC38" i="3"/>
  <c r="Q12" i="4" l="1"/>
  <c r="A15" i="6"/>
  <c r="D14" i="6"/>
  <c r="C14" i="6"/>
  <c r="C27" i="1"/>
  <c r="N39" i="1"/>
  <c r="AB11" i="7"/>
  <c r="AC14" i="5"/>
  <c r="Q18" i="4"/>
  <c r="A16" i="6" l="1"/>
  <c r="A17" i="6" s="1"/>
  <c r="D15" i="6"/>
  <c r="C15" i="6"/>
  <c r="N43" i="1"/>
  <c r="C39" i="1"/>
  <c r="AC70" i="2"/>
  <c r="AC63" i="2"/>
  <c r="E24" i="1"/>
  <c r="E11" i="1"/>
  <c r="AC51" i="6"/>
  <c r="AC39" i="6"/>
  <c r="AC29" i="6"/>
  <c r="AC24" i="6"/>
  <c r="AC20" i="6"/>
  <c r="AC9" i="6"/>
  <c r="AC17" i="6" l="1"/>
  <c r="C43" i="1"/>
  <c r="A18" i="6"/>
  <c r="A19" i="6" s="1"/>
  <c r="D17" i="6"/>
  <c r="AC77" i="2"/>
  <c r="AC83" i="2" s="1"/>
  <c r="AC85" i="2" s="1"/>
  <c r="AE26" i="7" s="1"/>
  <c r="AC10" i="2"/>
  <c r="AC17" i="2"/>
  <c r="AC25" i="2" l="1"/>
  <c r="AC31" i="2" s="1"/>
  <c r="AC33" i="2" s="1"/>
  <c r="AE27" i="7"/>
  <c r="AE13" i="7"/>
  <c r="A20" i="6"/>
  <c r="D19" i="6"/>
  <c r="C19" i="6"/>
  <c r="A21" i="6" l="1"/>
  <c r="D20" i="6"/>
  <c r="AA10" i="7"/>
  <c r="B10" i="7" s="1"/>
  <c r="AA9" i="7"/>
  <c r="B9" i="7" s="1"/>
  <c r="AA27" i="7"/>
  <c r="AB16" i="5"/>
  <c r="C16" i="5" s="1"/>
  <c r="AB13" i="5"/>
  <c r="C13" i="5" s="1"/>
  <c r="E13" i="5" s="1"/>
  <c r="AB12" i="5"/>
  <c r="C12" i="5" s="1"/>
  <c r="E12" i="5" s="1"/>
  <c r="AB11" i="5"/>
  <c r="C11" i="5" s="1"/>
  <c r="A22" i="6" l="1"/>
  <c r="D21" i="6"/>
  <c r="C21" i="6"/>
  <c r="AA11" i="7"/>
  <c r="B11" i="7" s="1"/>
  <c r="AB33" i="5"/>
  <c r="C33" i="5" s="1"/>
  <c r="A23" i="6" l="1"/>
  <c r="D22" i="6"/>
  <c r="C22" i="6"/>
  <c r="AA29" i="6"/>
  <c r="P16" i="4"/>
  <c r="C16" i="4" s="1"/>
  <c r="P15" i="4"/>
  <c r="C15" i="4" s="1"/>
  <c r="P14" i="4"/>
  <c r="C14" i="4" s="1"/>
  <c r="P10" i="4"/>
  <c r="C10" i="4" s="1"/>
  <c r="P9" i="4"/>
  <c r="C9" i="4" s="1"/>
  <c r="AB19" i="3"/>
  <c r="C19" i="3" s="1"/>
  <c r="AB12" i="3"/>
  <c r="C12" i="3" s="1"/>
  <c r="AB11" i="3"/>
  <c r="C11" i="3" s="1"/>
  <c r="AB10" i="3"/>
  <c r="C10" i="3" s="1"/>
  <c r="AB9" i="3"/>
  <c r="C9" i="3" s="1"/>
  <c r="AB29" i="2"/>
  <c r="AB28" i="2"/>
  <c r="AB27" i="2"/>
  <c r="E12" i="3" l="1"/>
  <c r="AB10" i="2"/>
  <c r="A24" i="6"/>
  <c r="D23" i="6"/>
  <c r="C23" i="6"/>
  <c r="P12" i="4"/>
  <c r="C12" i="4" s="1"/>
  <c r="P31" i="4"/>
  <c r="C31" i="4" s="1"/>
  <c r="AB38" i="3"/>
  <c r="AB15" i="3"/>
  <c r="C15" i="3" s="1"/>
  <c r="C38" i="3" l="1"/>
  <c r="AB40" i="3"/>
  <c r="C40" i="3" s="1"/>
  <c r="A25" i="6"/>
  <c r="D24" i="6"/>
  <c r="AA51" i="6"/>
  <c r="Z29" i="6"/>
  <c r="A26" i="6" l="1"/>
  <c r="D25" i="6"/>
  <c r="AB14" i="5"/>
  <c r="P37" i="4"/>
  <c r="C37" i="4" s="1"/>
  <c r="P18" i="4"/>
  <c r="C18" i="4" s="1"/>
  <c r="AB63" i="2"/>
  <c r="AB17" i="2"/>
  <c r="AB25" i="2" s="1"/>
  <c r="AB31" i="2" s="1"/>
  <c r="AB33" i="2" s="1"/>
  <c r="AB46" i="6"/>
  <c r="C46" i="6" s="1"/>
  <c r="AB51" i="6"/>
  <c r="C51" i="6" s="1"/>
  <c r="AB39" i="6"/>
  <c r="C39" i="6" s="1"/>
  <c r="AB29" i="6"/>
  <c r="AB24" i="6"/>
  <c r="AB20" i="6"/>
  <c r="C20" i="6" s="1"/>
  <c r="AB9" i="6"/>
  <c r="E10" i="1"/>
  <c r="AB12" i="7" l="1"/>
  <c r="AA12" i="7"/>
  <c r="AA13" i="7" s="1"/>
  <c r="AD12" i="7"/>
  <c r="AC12" i="7"/>
  <c r="AB17" i="6"/>
  <c r="C17" i="6" s="1"/>
  <c r="A27" i="6"/>
  <c r="D26" i="6"/>
  <c r="AB77" i="2"/>
  <c r="AB83" i="2" s="1"/>
  <c r="AB85" i="2" s="1"/>
  <c r="AD26" i="7" s="1"/>
  <c r="E26" i="6" l="1"/>
  <c r="A28" i="6"/>
  <c r="D27" i="6"/>
  <c r="C27" i="6"/>
  <c r="AD27" i="7"/>
  <c r="AD13" i="7"/>
  <c r="M18" i="4"/>
  <c r="M12" i="4"/>
  <c r="M37" i="4"/>
  <c r="M31" i="4"/>
  <c r="E27" i="6" l="1"/>
  <c r="A29" i="6"/>
  <c r="D28" i="6"/>
  <c r="C28" i="6"/>
  <c r="AA14" i="5"/>
  <c r="Z11" i="7"/>
  <c r="Z25" i="7"/>
  <c r="O37" i="4"/>
  <c r="O31" i="4"/>
  <c r="O18" i="4"/>
  <c r="O12" i="4"/>
  <c r="D29" i="6" l="1"/>
  <c r="E29" i="6" s="1"/>
  <c r="C29" i="6"/>
  <c r="E13" i="3"/>
  <c r="AA38" i="3"/>
  <c r="AA15" i="3"/>
  <c r="AA70" i="2"/>
  <c r="AA63" i="2"/>
  <c r="C63" i="2" s="1"/>
  <c r="AA17" i="2"/>
  <c r="AA10" i="2"/>
  <c r="AA77" i="2" l="1"/>
  <c r="AA83" i="2" s="1"/>
  <c r="AA85" i="2" s="1"/>
  <c r="AC26" i="7" s="1"/>
  <c r="AA25" i="2"/>
  <c r="AA31" i="2" s="1"/>
  <c r="AA33" i="2" s="1"/>
  <c r="AA46" i="6"/>
  <c r="AA39" i="6"/>
  <c r="AA9" i="6"/>
  <c r="C9" i="6" s="1"/>
  <c r="E9" i="6" s="1"/>
  <c r="AA24" i="6"/>
  <c r="AA20" i="6"/>
  <c r="AC13" i="7" l="1"/>
  <c r="C13" i="7" s="1"/>
  <c r="C12" i="7"/>
  <c r="AC27" i="7"/>
  <c r="C27" i="7" s="1"/>
  <c r="C26" i="7"/>
  <c r="AA17" i="6"/>
  <c r="Y25" i="7" l="1"/>
  <c r="Y11" i="7"/>
  <c r="Z14" i="5"/>
  <c r="C14" i="5" s="1"/>
  <c r="E14" i="5" s="1"/>
  <c r="Z38" i="3" l="1"/>
  <c r="Z15" i="3"/>
  <c r="Z70" i="2"/>
  <c r="C70" i="2" s="1"/>
  <c r="Z63" i="2"/>
  <c r="Z17" i="2"/>
  <c r="Z10" i="2"/>
  <c r="E29" i="1"/>
  <c r="Z51" i="6"/>
  <c r="Z46" i="6"/>
  <c r="Y46" i="6"/>
  <c r="X46" i="6"/>
  <c r="Z39" i="6"/>
  <c r="Z24" i="6"/>
  <c r="Z20" i="6"/>
  <c r="Z17" i="6" l="1"/>
  <c r="Z25" i="2"/>
  <c r="Z31" i="2" s="1"/>
  <c r="Z33" i="2" s="1"/>
  <c r="Z77" i="2"/>
  <c r="Z83" i="2" l="1"/>
  <c r="C77" i="2"/>
  <c r="Z85" i="2" l="1"/>
  <c r="C83" i="2"/>
  <c r="E83" i="2" s="1"/>
  <c r="X25" i="7"/>
  <c r="X11" i="7"/>
  <c r="Q37" i="5"/>
  <c r="R37" i="5"/>
  <c r="S33" i="5"/>
  <c r="S37" i="5" s="1"/>
  <c r="T33" i="5"/>
  <c r="T37" i="5" s="1"/>
  <c r="U33" i="5"/>
  <c r="U37" i="5" s="1"/>
  <c r="V33" i="5"/>
  <c r="V37" i="5" s="1"/>
  <c r="W33" i="5"/>
  <c r="W37" i="5" s="1"/>
  <c r="X33" i="5"/>
  <c r="X37" i="5" s="1"/>
  <c r="Y33" i="5"/>
  <c r="R14" i="5"/>
  <c r="S14" i="5"/>
  <c r="T14" i="5"/>
  <c r="U14" i="5"/>
  <c r="U18" i="5" s="1"/>
  <c r="V9" i="5" s="1"/>
  <c r="V14" i="5"/>
  <c r="W14" i="5"/>
  <c r="X14" i="5"/>
  <c r="Y14" i="5"/>
  <c r="V18" i="5" l="1"/>
  <c r="W9" i="5" s="1"/>
  <c r="W18" i="5" s="1"/>
  <c r="X9" i="5" s="1"/>
  <c r="AB26" i="7"/>
  <c r="B26" i="7" s="1"/>
  <c r="C85" i="2"/>
  <c r="Y38" i="3"/>
  <c r="AB27" i="7" l="1"/>
  <c r="B27" i="7" s="1"/>
  <c r="B12" i="7"/>
  <c r="Y15" i="3"/>
  <c r="E15" i="3" s="1"/>
  <c r="AB13" i="7" l="1"/>
  <c r="B13" i="7" s="1"/>
  <c r="E80" i="2"/>
  <c r="Q70" i="2"/>
  <c r="R70" i="2"/>
  <c r="S70" i="2"/>
  <c r="T70" i="2"/>
  <c r="U70" i="2"/>
  <c r="V70" i="2"/>
  <c r="W70" i="2"/>
  <c r="X70" i="2"/>
  <c r="Q63" i="2"/>
  <c r="R63" i="2"/>
  <c r="S63" i="2"/>
  <c r="T63" i="2"/>
  <c r="U63" i="2"/>
  <c r="V63" i="2"/>
  <c r="W63" i="2"/>
  <c r="X63" i="2"/>
  <c r="Y70" i="2"/>
  <c r="Y63"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7" i="2"/>
  <c r="T25" i="2"/>
  <c r="L25" i="2"/>
  <c r="V77" i="2"/>
  <c r="R77" i="2"/>
  <c r="W77" i="2"/>
  <c r="W25" i="2"/>
  <c r="S25" i="2"/>
  <c r="O25" i="2"/>
  <c r="K25" i="2"/>
  <c r="U77" i="2"/>
  <c r="Q77" i="2"/>
  <c r="V25" i="2"/>
  <c r="R25" i="2"/>
  <c r="N25" i="2"/>
  <c r="J25" i="2"/>
  <c r="X77" i="2"/>
  <c r="T77" i="2"/>
  <c r="Y77"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V20" i="6"/>
  <c r="V17" i="6" s="1"/>
  <c r="W20" i="6"/>
  <c r="W17" i="6" s="1"/>
  <c r="X20" i="6"/>
  <c r="Y20" i="6"/>
  <c r="I20" i="6"/>
  <c r="I17" i="6" s="1"/>
  <c r="U17" i="6" l="1"/>
  <c r="O17" i="6"/>
  <c r="K17" i="6"/>
  <c r="AB44" i="3"/>
  <c r="AB17" i="3"/>
  <c r="J17" i="6"/>
  <c r="X17" i="6"/>
  <c r="T17" i="6"/>
  <c r="P17" i="6"/>
  <c r="L17" i="6"/>
  <c r="Y17" i="6"/>
  <c r="Q17" i="6"/>
  <c r="M17" i="6"/>
  <c r="Y28" i="5"/>
  <c r="N12" i="4"/>
  <c r="N18" i="4"/>
  <c r="N31" i="4"/>
  <c r="N37" i="4"/>
  <c r="Y31" i="2"/>
  <c r="Y33" i="2" s="1"/>
  <c r="Y83" i="2"/>
  <c r="Y85" i="2" s="1"/>
  <c r="Y39" i="6"/>
  <c r="Y9" i="6"/>
  <c r="Y29" i="6"/>
  <c r="C17" i="3" l="1"/>
  <c r="AB21" i="3"/>
  <c r="C44" i="3"/>
  <c r="AB46" i="3"/>
  <c r="Y37" i="5"/>
  <c r="Z28" i="5" s="1"/>
  <c r="C21" i="3"/>
  <c r="E24" i="6"/>
  <c r="Z37" i="5" l="1"/>
  <c r="E20" i="6"/>
  <c r="X31" i="2"/>
  <c r="X33" i="2" s="1"/>
  <c r="C23" i="3" l="1"/>
  <c r="E23" i="3" s="1"/>
  <c r="AA28" i="5"/>
  <c r="AA37" i="5" s="1"/>
  <c r="AB28" i="5" s="1"/>
  <c r="Z13" i="7"/>
  <c r="AB37" i="5" l="1"/>
  <c r="C37" i="5" s="1"/>
  <c r="E37" i="5" s="1"/>
  <c r="C28" i="5"/>
  <c r="W11" i="7"/>
  <c r="W25" i="7"/>
  <c r="X18" i="5"/>
  <c r="Y9" i="5" s="1"/>
  <c r="X9" i="6"/>
  <c r="X29" i="6"/>
  <c r="X39" i="6"/>
  <c r="K12" i="4"/>
  <c r="L12" i="4"/>
  <c r="Y18" i="5" l="1"/>
  <c r="Z9" i="5" s="1"/>
  <c r="X83" i="2"/>
  <c r="X85" i="2" s="1"/>
  <c r="Z26" i="7" s="1"/>
  <c r="K18" i="4"/>
  <c r="L37" i="4"/>
  <c r="L18" i="4"/>
  <c r="Z18" i="5" l="1"/>
  <c r="AA9" i="5" s="1"/>
  <c r="Z27" i="7"/>
  <c r="E15" i="4"/>
  <c r="E16" i="4"/>
  <c r="J18" i="4"/>
  <c r="I18" i="4"/>
  <c r="AA18" i="5" l="1"/>
  <c r="AB9" i="5" s="1"/>
  <c r="J12" i="4"/>
  <c r="I12" i="4"/>
  <c r="AB18" i="5" l="1"/>
  <c r="C9" i="5"/>
  <c r="J37" i="4"/>
  <c r="K37" i="4"/>
  <c r="I37" i="4"/>
  <c r="J31" i="4"/>
  <c r="K31" i="4"/>
  <c r="I31" i="4"/>
  <c r="C18" i="5" l="1"/>
  <c r="AC9" i="5"/>
  <c r="AC18" i="5" s="1"/>
  <c r="AD9" i="5" s="1"/>
  <c r="AD18" i="5" s="1"/>
  <c r="D18" i="5" s="1"/>
  <c r="Q11" i="7"/>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3" i="2"/>
  <c r="R85" i="2" s="1"/>
  <c r="E68" i="2"/>
  <c r="E81" i="2"/>
  <c r="E79" i="2"/>
  <c r="E73" i="2"/>
  <c r="E75" i="2"/>
  <c r="W31" i="2"/>
  <c r="W33" i="2" s="1"/>
  <c r="D24" i="7"/>
  <c r="D23" i="7"/>
  <c r="Y13" i="7" l="1"/>
  <c r="V31" i="2"/>
  <c r="V33" i="2" s="1"/>
  <c r="X13" i="7" s="1"/>
  <c r="R31" i="2"/>
  <c r="R33" i="2" s="1"/>
  <c r="N31" i="2"/>
  <c r="N33" i="2" s="1"/>
  <c r="J31" i="2"/>
  <c r="J33" i="2" s="1"/>
  <c r="S31" i="2"/>
  <c r="S33" i="2" s="1"/>
  <c r="S83" i="2"/>
  <c r="S85" i="2" s="1"/>
  <c r="U83" i="2"/>
  <c r="U85" i="2" s="1"/>
  <c r="Q83" i="2"/>
  <c r="Q85" i="2" s="1"/>
  <c r="E70" i="2"/>
  <c r="T83" i="2"/>
  <c r="T85" i="2" s="1"/>
  <c r="W83" i="2"/>
  <c r="W85" i="2" s="1"/>
  <c r="V83" i="2"/>
  <c r="V85"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S26" i="7"/>
  <c r="S27" i="7" s="1"/>
  <c r="W26" i="7"/>
  <c r="M12" i="7"/>
  <c r="M13" i="7" s="1"/>
  <c r="L12" i="7"/>
  <c r="L13" i="7" s="1"/>
  <c r="V13" i="7"/>
  <c r="T13" i="7"/>
  <c r="R13" i="7"/>
  <c r="S13" i="7"/>
  <c r="Q13" i="7"/>
  <c r="V26" i="7"/>
  <c r="V27" i="7" s="1"/>
  <c r="P13" i="7"/>
  <c r="T26" i="7"/>
  <c r="T27" i="7" s="1"/>
  <c r="E77"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39" i="6"/>
  <c r="E23" i="6"/>
  <c r="E25" i="6"/>
  <c r="E22" i="6"/>
  <c r="E21" i="6"/>
  <c r="E19" i="6"/>
  <c r="E17" i="6"/>
  <c r="E15" i="6"/>
  <c r="E12" i="6"/>
  <c r="E11" i="6"/>
  <c r="W13" i="7" l="1"/>
  <c r="W27" i="7"/>
  <c r="D27" i="7" s="1"/>
  <c r="D26" i="7"/>
  <c r="U13" i="7"/>
  <c r="D12" i="7"/>
  <c r="D11" i="7"/>
  <c r="D13" i="7"/>
  <c r="E85" i="2"/>
  <c r="E28" i="5"/>
  <c r="E30" i="5" l="1"/>
  <c r="E18" i="5"/>
  <c r="E9" i="5"/>
  <c r="E11" i="5"/>
  <c r="E14" i="4" l="1"/>
  <c r="E10" i="4"/>
  <c r="E9" i="4"/>
  <c r="E37" i="4"/>
  <c r="E34" i="4"/>
  <c r="E35" i="4"/>
  <c r="E33" i="4"/>
  <c r="E29" i="4"/>
  <c r="E28" i="4"/>
  <c r="E31" i="4"/>
  <c r="E18" i="4"/>
  <c r="E12" i="4"/>
  <c r="E34" i="3" l="1"/>
  <c r="E33" i="3"/>
  <c r="E10" i="3"/>
  <c r="E9" i="3"/>
  <c r="E21" i="3"/>
  <c r="E17" i="3"/>
  <c r="E66" i="2"/>
  <c r="E64" i="2"/>
  <c r="E32" i="1"/>
  <c r="E34" i="1"/>
  <c r="E31" i="1"/>
  <c r="E37" i="1"/>
  <c r="E25" i="1"/>
  <c r="E23" i="1"/>
  <c r="E14" i="1"/>
  <c r="E16" i="1"/>
  <c r="E17" i="1"/>
  <c r="E18" i="1"/>
  <c r="E19" i="1"/>
  <c r="E9" i="1"/>
  <c r="E13" i="1" l="1"/>
  <c r="E63" i="2"/>
  <c r="E21" i="1" l="1"/>
  <c r="L31" i="4"/>
  <c r="E27" i="1" l="1"/>
</calcChain>
</file>

<file path=xl/sharedStrings.xml><?xml version="1.0" encoding="utf-8"?>
<sst xmlns="http://schemas.openxmlformats.org/spreadsheetml/2006/main" count="800" uniqueCount="143">
  <si>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</si>
  <si>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</si>
  <si>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</si>
  <si>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</si>
  <si>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</si>
  <si>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</si>
  <si>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</si>
  <si>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</si>
  <si>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</si>
  <si>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</si>
  <si>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</si>
  <si>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</si>
  <si>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</si>
  <si>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</si>
  <si>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</si>
  <si>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</si>
  <si>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</si>
  <si>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</si>
  <si>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</si>
  <si>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</si>
  <si>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</si>
  <si>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</si>
  <si>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</si>
  <si>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</si>
  <si>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</si>
  <si>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</si>
  <si>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</si>
  <si>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</si>
  <si>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</si>
  <si>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</si>
  <si>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</si>
  <si>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</si>
  <si>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</si>
  <si>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</si>
  <si>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</si>
  <si>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</si>
  <si>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</si>
  <si>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</si>
  <si>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</si>
  <si>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</si>
  <si>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</si>
  <si>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</si>
  <si>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</si>
  <si>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</si>
  <si>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</si>
  <si>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</si>
  <si>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</si>
  <si>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</si>
  <si>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</si>
  <si>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</si>
  <si>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</si>
  <si>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</si>
  <si>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</si>
  <si>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</si>
  <si>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</si>
  <si>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</si>
  <si>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</si>
  <si>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</si>
  <si>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</si>
  <si>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</si>
  <si>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</si>
  <si>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</si>
  <si>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</si>
  <si>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</si>
  <si>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</si>
  <si>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</si>
  <si>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</si>
  <si>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</si>
  <si>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</si>
  <si>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</si>
  <si>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</si>
  <si>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</si>
  <si>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</si>
  <si>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</si>
  <si>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</si>
  <si>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</si>
  <si>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</si>
  <si>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</si>
  <si>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</si>
  <si>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</si>
  <si>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</si>
  <si>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</si>
  <si>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</si>
  <si>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</si>
  <si>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</si>
  <si>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</si>
  <si>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</si>
  <si>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</si>
  <si>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</si>
  <si>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</si>
  <si>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</si>
  <si>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</si>
  <si>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</si>
  <si>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</si>
  <si>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</si>
  <si>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</si>
  <si>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</si>
  <si>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</si>
  <si>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</si>
  <si>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</si>
  <si>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</si>
  <si>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</si>
  <si>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</si>
  <si>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</si>
  <si>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</si>
  <si>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</si>
  <si>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</si>
  <si>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</si>
  <si>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</si>
  <si>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</si>
  <si>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</si>
  <si>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</si>
  <si>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</si>
  <si>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</si>
  <si>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</si>
  <si>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</si>
  <si>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</si>
  <si>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</si>
  <si>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</si>
  <si>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</si>
  <si>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</si>
  <si>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</si>
  <si>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</si>
  <si>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</si>
  <si>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</si>
  <si>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</si>
  <si>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</si>
  <si>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</si>
  <si>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</si>
  <si>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</si>
  <si>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</si>
  <si>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</si>
  <si>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</si>
  <si>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</si>
  <si>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</si>
  <si>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</si>
  <si>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</si>
  <si>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</si>
  <si>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</si>
  <si>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</si>
  <si>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 Corresponds to the energy purchased from the Punta Palmeras wind farm owned by Acciona and San Pedro, owned by Alba S.A.</t>
  </si>
  <si>
    <t>4Q20</t>
  </si>
  <si>
    <t xml:space="preserve">4Q19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</si>
</sst>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 #,##0_ ;_ * \-#,##0_ ;_ * &quot;-&quot;_ ;_ @_ "/>
    <numFmt numFmtId="165" formatCode="_ * #,##0.00_ ;_ * \-#,##0.00_ ;_ * &quot;-&quot;??_ ;_ @_ "/>
    <numFmt numFmtId="166" formatCode="_(* #,##0.00_);_(* \(#,##0.00\);_(* &quot;-&quot;??_);_(@_)"/>
    <numFmt numFmtId="167" formatCode="0.0"/>
    <numFmt numFmtId="168" formatCode="_(* #,##0.0_);_(* \(#,##0.0\);_(* &quot;-&quot;??_);_(@_)"/>
    <numFmt numFmtId="169" formatCode="_ * #,##0.0_ ;_ * \-#,##0.0_ ;_ * &quot;-&quot;_ ;_ @_ "/>
    <numFmt numFmtId="170" formatCode="_(* #,##0_);_(* \(#,##0\);_(* &quot;-&quot;??_);_(@_)"/>
    <numFmt numFmtId="171" formatCode="0%_);\(0%\)"/>
    <numFmt numFmtId="172" formatCode="0.000"/>
    <numFmt numFmtId="173" formatCode="_ * #,##0.0_ ;_ * \-#,##0.0_ ;_ * &quot;-&quot;?_ ;_ @_ "/>
    <numFmt numFmtId="174" formatCode="_-* #,##0.0_-;\-* #,##0.0_-;_-* &quot;-&quot;??_-;_-@_-"/>
    <numFmt numFmtId="175" formatCode="\-"/>
    <numFmt numFmtId="176" formatCode="_-[$€-2]\ * #,##0.00_-;\-[$€-2]\ * #,##0.00_-;_-[$€-2]\ * &quot;-&quot;??_-"/>
    <numFmt numFmtId="177" formatCode="#,##0.0"/>
    <numFmt numFmtId="178" formatCode="_-* #,##0.0_-;\-* #,##0.0_-;_-* &quot;-&quot;?_-;_-@_-"/>
  </numFmts>
  <fonts count="14"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43" fontId="8" fillId="0" borderId="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0" fontId="8" fillId="0" borderId="0"/>
    <xf numFmtId="43" fontId="8" fillId="0" borderId="0" applyFont="0" applyFill="0" applyBorder="0" applyAlignment="0" applyProtection="0"/>
    <xf numFmtId="166" fontId="1" fillId="0" borderId="0" applyFont="0" applyFill="0" applyBorder="0" applyAlignment="0" applyProtection="0"/>
    <xf numFmtId="0" fontId="8" fillId="0" borderId="0"/>
    <xf numFmtId="176"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3" fontId="8" fillId="0" borderId="0" applyFont="0" applyFill="0" applyBorder="0" applyAlignment="0" applyProtection="0"/>
  </cellStyleXfs>
  <cellXfs count="102">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7" fontId="2" fillId="2" borderId="0" xfId="0" applyNumberFormat="1" applyFont="1" applyFill="1"/>
    <xf numFmtId="168" fontId="2" fillId="2" borderId="0" xfId="0" applyNumberFormat="1" applyFont="1" applyFill="1" applyBorder="1" applyAlignment="1">
      <alignment horizontal="right" vertical="center"/>
    </xf>
    <xf numFmtId="168" fontId="4" fillId="5" borderId="0" xfId="0" applyNumberFormat="1" applyFont="1" applyFill="1"/>
    <xf numFmtId="167"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9" fontId="2" fillId="2" borderId="0" xfId="1" applyNumberFormat="1" applyFont="1" applyFill="1"/>
    <xf numFmtId="169" fontId="2" fillId="3" borderId="0" xfId="1" applyNumberFormat="1" applyFont="1" applyFill="1"/>
    <xf numFmtId="169" fontId="4" fillId="5" borderId="0" xfId="1" applyNumberFormat="1" applyFont="1" applyFill="1"/>
    <xf numFmtId="168" fontId="4" fillId="4" borderId="0" xfId="0" applyNumberFormat="1" applyFont="1" applyFill="1"/>
    <xf numFmtId="167" fontId="2" fillId="2" borderId="0" xfId="1" applyNumberFormat="1" applyFont="1" applyFill="1" applyBorder="1" applyAlignment="1">
      <alignment horizontal="right" vertical="center"/>
    </xf>
    <xf numFmtId="167" fontId="4" fillId="5" borderId="0" xfId="1" applyNumberFormat="1" applyFont="1" applyFill="1"/>
    <xf numFmtId="0" fontId="6" fillId="7" borderId="0" xfId="0" applyFont="1" applyFill="1"/>
    <xf numFmtId="168" fontId="6" fillId="7" borderId="0" xfId="0" applyNumberFormat="1" applyFont="1" applyFill="1" applyBorder="1" applyAlignment="1">
      <alignment horizontal="right" vertical="center"/>
    </xf>
    <xf numFmtId="167" fontId="2" fillId="3" borderId="0" xfId="1" applyNumberFormat="1" applyFont="1" applyFill="1"/>
    <xf numFmtId="167" fontId="6" fillId="7" borderId="0" xfId="1" applyNumberFormat="1" applyFont="1" applyFill="1" applyBorder="1" applyAlignment="1">
      <alignment horizontal="right" vertical="center"/>
    </xf>
    <xf numFmtId="170" fontId="4" fillId="5" borderId="0" xfId="0" applyNumberFormat="1" applyFont="1" applyFill="1"/>
    <xf numFmtId="170" fontId="2" fillId="2" borderId="0" xfId="0" applyNumberFormat="1" applyFont="1" applyFill="1" applyBorder="1" applyAlignment="1">
      <alignment horizontal="right" vertical="center"/>
    </xf>
    <xf numFmtId="170" fontId="2" fillId="3" borderId="0" xfId="0" applyNumberFormat="1" applyFont="1" applyFill="1"/>
    <xf numFmtId="170" fontId="6" fillId="7" borderId="0" xfId="0" applyNumberFormat="1" applyFont="1" applyFill="1" applyBorder="1" applyAlignment="1">
      <alignment horizontal="right" vertical="center"/>
    </xf>
    <xf numFmtId="0" fontId="6" fillId="2" borderId="0" xfId="0" applyFont="1" applyFill="1"/>
    <xf numFmtId="170"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7" fontId="4" fillId="5" borderId="0" xfId="0" applyNumberFormat="1" applyFont="1" applyFill="1"/>
    <xf numFmtId="167" fontId="2" fillId="3" borderId="0" xfId="0" applyNumberFormat="1" applyFont="1" applyFill="1"/>
    <xf numFmtId="167" fontId="2" fillId="2" borderId="0" xfId="0" applyNumberFormat="1" applyFont="1" applyFill="1" applyBorder="1" applyAlignment="1">
      <alignment horizontal="right" vertical="center"/>
    </xf>
    <xf numFmtId="167" fontId="6" fillId="7" borderId="0" xfId="0" applyNumberFormat="1" applyFont="1" applyFill="1" applyBorder="1" applyAlignment="1">
      <alignment horizontal="right" vertical="center"/>
    </xf>
    <xf numFmtId="171" fontId="2" fillId="2" borderId="0" xfId="2" applyNumberFormat="1" applyFont="1" applyFill="1"/>
    <xf numFmtId="171" fontId="2" fillId="2" borderId="0" xfId="2" applyNumberFormat="1" applyFont="1" applyFill="1" applyBorder="1" applyAlignment="1">
      <alignment horizontal="right" vertical="center"/>
    </xf>
    <xf numFmtId="171" fontId="4" fillId="5" borderId="0" xfId="2" applyNumberFormat="1" applyFont="1" applyFill="1"/>
    <xf numFmtId="171" fontId="2" fillId="3" borderId="0" xfId="0" applyNumberFormat="1" applyFont="1" applyFill="1"/>
    <xf numFmtId="171" fontId="4" fillId="4" borderId="0" xfId="2" applyNumberFormat="1" applyFont="1" applyFill="1"/>
    <xf numFmtId="171" fontId="2" fillId="3" borderId="0" xfId="2" applyNumberFormat="1" applyFont="1" applyFill="1"/>
    <xf numFmtId="0" fontId="4" fillId="3" borderId="0" xfId="0" applyFont="1" applyFill="1" applyAlignment="1">
      <alignment horizontal="left"/>
    </xf>
    <xf numFmtId="168" fontId="4" fillId="3" borderId="0" xfId="0" applyNumberFormat="1" applyFont="1" applyFill="1"/>
    <xf numFmtId="171" fontId="4" fillId="3" borderId="0" xfId="2" applyNumberFormat="1" applyFont="1" applyFill="1"/>
    <xf numFmtId="168" fontId="2" fillId="2" borderId="0" xfId="0" applyNumberFormat="1" applyFont="1" applyFill="1"/>
    <xf numFmtId="167" fontId="4" fillId="3" borderId="0" xfId="0" applyNumberFormat="1" applyFont="1" applyFill="1"/>
    <xf numFmtId="171" fontId="2" fillId="2" borderId="0" xfId="0" applyNumberFormat="1" applyFont="1" applyFill="1" applyBorder="1" applyAlignment="1">
      <alignment horizontal="right" vertical="center"/>
    </xf>
    <xf numFmtId="0" fontId="9" fillId="3" borderId="0" xfId="0" applyFont="1" applyFill="1"/>
    <xf numFmtId="165" fontId="2" fillId="3" borderId="0" xfId="0" applyNumberFormat="1" applyFont="1" applyFill="1"/>
    <xf numFmtId="171" fontId="2" fillId="2" borderId="0" xfId="2" applyNumberFormat="1" applyFont="1" applyFill="1" applyAlignment="1">
      <alignment horizontal="right"/>
    </xf>
    <xf numFmtId="168" fontId="4" fillId="4" borderId="0" xfId="0" applyNumberFormat="1" applyFont="1" applyFill="1" applyBorder="1" applyAlignment="1">
      <alignment horizontal="right" vertical="center"/>
    </xf>
    <xf numFmtId="171" fontId="4" fillId="4" borderId="0" xfId="2" applyNumberFormat="1" applyFont="1" applyFill="1" applyAlignment="1">
      <alignment horizontal="right"/>
    </xf>
    <xf numFmtId="172" fontId="2" fillId="3" borderId="0" xfId="0" applyNumberFormat="1" applyFont="1" applyFill="1"/>
    <xf numFmtId="168" fontId="2" fillId="3" borderId="0" xfId="0" applyNumberFormat="1" applyFont="1" applyFill="1"/>
    <xf numFmtId="173" fontId="2" fillId="3" borderId="0" xfId="0" applyNumberFormat="1" applyFont="1" applyFill="1"/>
    <xf numFmtId="9" fontId="2" fillId="3" borderId="0" xfId="2" applyFont="1" applyFill="1"/>
    <xf numFmtId="171" fontId="6" fillId="7" borderId="0" xfId="2" applyNumberFormat="1" applyFont="1" applyFill="1" applyAlignment="1">
      <alignment horizontal="right"/>
    </xf>
    <xf numFmtId="164" fontId="2" fillId="2" borderId="0" xfId="1" applyFont="1" applyFill="1" applyAlignment="1">
      <alignment horizontal="right"/>
    </xf>
    <xf numFmtId="164"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70" fontId="4" fillId="5" borderId="0" xfId="0" applyNumberFormat="1" applyFont="1" applyFill="1" applyAlignment="1">
      <alignment horizontal="center"/>
    </xf>
    <xf numFmtId="171" fontId="4" fillId="5" borderId="0" xfId="2" applyNumberFormat="1" applyFont="1" applyFill="1" applyAlignment="1">
      <alignment horizontal="center"/>
    </xf>
    <xf numFmtId="170" fontId="2" fillId="2" borderId="0" xfId="0" applyNumberFormat="1" applyFont="1" applyFill="1" applyBorder="1" applyAlignment="1">
      <alignment horizontal="center" vertical="center"/>
    </xf>
    <xf numFmtId="171" fontId="2" fillId="2" borderId="0" xfId="2" applyNumberFormat="1" applyFont="1" applyFill="1" applyAlignment="1">
      <alignment horizontal="center"/>
    </xf>
    <xf numFmtId="9" fontId="2" fillId="2" borderId="0" xfId="2" applyFont="1" applyFill="1" applyBorder="1" applyAlignment="1">
      <alignment horizontal="center" vertical="center"/>
    </xf>
    <xf numFmtId="170" fontId="6" fillId="2" borderId="0" xfId="0" applyNumberFormat="1" applyFont="1" applyFill="1" applyBorder="1" applyAlignment="1">
      <alignment horizontal="center" vertical="center"/>
    </xf>
    <xf numFmtId="170" fontId="2" fillId="3" borderId="0" xfId="0" applyNumberFormat="1" applyFont="1" applyFill="1" applyAlignment="1">
      <alignment horizontal="center"/>
    </xf>
    <xf numFmtId="9" fontId="2" fillId="2" borderId="0" xfId="2" applyFont="1" applyFill="1" applyAlignment="1">
      <alignment horizontal="center"/>
    </xf>
    <xf numFmtId="171" fontId="6" fillId="2" borderId="0" xfId="2" applyNumberFormat="1" applyFont="1" applyFill="1" applyAlignment="1">
      <alignment horizontal="center"/>
    </xf>
    <xf numFmtId="170" fontId="6" fillId="7" borderId="0" xfId="0" applyNumberFormat="1" applyFont="1" applyFill="1" applyBorder="1" applyAlignment="1">
      <alignment horizontal="center" vertical="center"/>
    </xf>
    <xf numFmtId="171"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70" fontId="2" fillId="6" borderId="0" xfId="9" applyNumberFormat="1" applyFont="1" applyFill="1" applyAlignment="1">
      <alignment horizontal="center" vertical="center"/>
    </xf>
    <xf numFmtId="170" fontId="2" fillId="3" borderId="0" xfId="9" applyNumberFormat="1" applyFont="1" applyFill="1" applyAlignment="1">
      <alignment horizontal="center" vertical="center"/>
    </xf>
    <xf numFmtId="170" fontId="4" fillId="5" borderId="0" xfId="9" applyNumberFormat="1" applyFont="1" applyFill="1" applyAlignment="1">
      <alignment horizontal="center" vertical="center"/>
    </xf>
    <xf numFmtId="170" fontId="2" fillId="2" borderId="0" xfId="9" applyNumberFormat="1" applyFont="1" applyFill="1" applyBorder="1" applyAlignment="1">
      <alignment horizontal="center" vertical="center"/>
    </xf>
    <xf numFmtId="170" fontId="6" fillId="2" borderId="0" xfId="9" applyNumberFormat="1" applyFont="1" applyFill="1" applyBorder="1" applyAlignment="1">
      <alignment horizontal="center" vertical="center"/>
    </xf>
    <xf numFmtId="170" fontId="6" fillId="7" borderId="0" xfId="9" applyNumberFormat="1" applyFont="1" applyFill="1" applyBorder="1" applyAlignment="1">
      <alignment horizontal="center" vertical="center"/>
    </xf>
    <xf numFmtId="171" fontId="2" fillId="2" borderId="0" xfId="2" applyNumberFormat="1" applyFont="1" applyFill="1" applyAlignment="1">
      <alignment horizontal="right" vertical="center"/>
    </xf>
    <xf numFmtId="168" fontId="2" fillId="3" borderId="0" xfId="9" applyNumberFormat="1" applyFont="1" applyFill="1"/>
    <xf numFmtId="174" fontId="11" fillId="2" borderId="0" xfId="8" applyNumberFormat="1" applyFont="1" applyFill="1"/>
    <xf numFmtId="177" fontId="2" fillId="2" borderId="0" xfId="0" applyNumberFormat="1" applyFont="1" applyFill="1"/>
    <xf numFmtId="167" fontId="2" fillId="2" borderId="0" xfId="0" applyNumberFormat="1" applyFont="1" applyFill="1" applyAlignment="1">
      <alignment horizontal="right"/>
    </xf>
    <xf numFmtId="168" fontId="2" fillId="2" borderId="0" xfId="0" applyNumberFormat="1" applyFont="1" applyFill="1" applyAlignment="1">
      <alignment horizontal="right"/>
    </xf>
    <xf numFmtId="9" fontId="6" fillId="2" borderId="0" xfId="2" applyFont="1" applyFill="1" applyAlignment="1">
      <alignment horizontal="center"/>
    </xf>
    <xf numFmtId="171" fontId="4" fillId="4" borderId="0" xfId="2" applyNumberFormat="1" applyFont="1" applyFill="1" applyAlignment="1">
      <alignment horizontal="center"/>
    </xf>
    <xf numFmtId="171" fontId="2" fillId="3" borderId="0" xfId="0" applyNumberFormat="1" applyFont="1" applyFill="1" applyAlignment="1">
      <alignment horizontal="center"/>
    </xf>
    <xf numFmtId="178" fontId="2" fillId="3" borderId="0" xfId="0" applyNumberFormat="1" applyFont="1" applyFill="1"/>
    <xf numFmtId="168" fontId="2" fillId="0" borderId="0" xfId="0" applyNumberFormat="1" applyFont="1" applyFill="1" applyBorder="1" applyAlignment="1">
      <alignment horizontal="right" vertical="center"/>
    </xf>
    <xf numFmtId="0" fontId="4" fillId="4" borderId="0" xfId="0" applyFont="1" applyFill="1" applyAlignment="1">
      <alignment horizontal="center" vertical="center"/>
    </xf>
    <xf numFmtId="170"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xf numFmtId="43" fontId="2" fillId="3" borderId="0" xfId="0" applyNumberFormat="1" applyFont="1" applyFill="1"/>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J53"/>
  <sheetViews>
    <sheetView topLeftCell="X7" zoomScale="70" zoomScaleNormal="70" workbookViewId="0">
      <selection activeCell="AG11" sqref="AG11:AJ11"/>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78"/>
    <col min="5" max="7" width="11.42578125" style="1"/>
    <col min="8" max="8" width="37.42578125" style="1" customWidth="1"/>
    <col min="9" max="35" width="11.42578125" style="1" customWidth="1"/>
    <col min="36" max="16384" width="11.42578125" style="1"/>
  </cols>
  <sheetData>
    <row r="4" spans="1:36" ht="23.25" x14ac:dyDescent="0.35">
      <c r="B4" s="12" t="s">
        <v>0</v>
      </c>
      <c r="C4" s="13"/>
      <c r="D4" s="77"/>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6" spans="1:36" x14ac:dyDescent="0.3">
      <c r="A6" s="1">
        <v>1</v>
      </c>
      <c r="B6" s="3" t="s">
        <v>1</v>
      </c>
      <c r="C6" s="94" t="s">
        <v>3</v>
      </c>
      <c r="D6" s="95" t="s">
        <v>141</v>
      </c>
      <c r="E6" s="94" t="s">
        <v>4</v>
      </c>
      <c r="H6" s="3" t="s">
        <v>5</v>
      </c>
      <c r="I6" s="94" t="s">
        <v>6</v>
      </c>
      <c r="J6" s="94" t="s">
        <v>7</v>
      </c>
      <c r="K6" s="94" t="s">
        <v>8</v>
      </c>
      <c r="L6" s="94" t="s">
        <v>9</v>
      </c>
      <c r="M6" s="94" t="s">
        <v>10</v>
      </c>
      <c r="N6" s="94" t="s">
        <v>11</v>
      </c>
      <c r="O6" s="94" t="s">
        <v>12</v>
      </c>
      <c r="P6" s="94" t="s">
        <v>13</v>
      </c>
      <c r="Q6" s="94" t="s">
        <v>14</v>
      </c>
      <c r="R6" s="94" t="s">
        <v>15</v>
      </c>
      <c r="S6" s="94" t="s">
        <v>16</v>
      </c>
      <c r="T6" s="94" t="s">
        <v>17</v>
      </c>
      <c r="U6" s="94" t="s">
        <v>18</v>
      </c>
      <c r="V6" s="94" t="s">
        <v>19</v>
      </c>
      <c r="W6" s="94" t="s">
        <v>20</v>
      </c>
      <c r="X6" s="94" t="s">
        <v>21</v>
      </c>
      <c r="Y6" s="94" t="s">
        <v>22</v>
      </c>
      <c r="Z6" s="94" t="s">
        <v>23</v>
      </c>
      <c r="AA6" s="94" t="s">
        <v>24</v>
      </c>
      <c r="AB6" s="94" t="s">
        <v>2</v>
      </c>
      <c r="AC6" s="94" t="s">
        <v>25</v>
      </c>
      <c r="AD6" s="94" t="s">
        <v>26</v>
      </c>
      <c r="AE6" s="94" t="s">
        <v>27</v>
      </c>
      <c r="AF6" s="94" t="s">
        <v>3</v>
      </c>
      <c r="AG6" s="94" t="s">
        <v>128</v>
      </c>
      <c r="AH6" s="94" t="s">
        <v>130</v>
      </c>
      <c r="AI6" s="94" t="s">
        <v>139</v>
      </c>
      <c r="AJ6" s="94" t="s">
        <v>141</v>
      </c>
    </row>
    <row r="7" spans="1:36" x14ac:dyDescent="0.3">
      <c r="A7" s="1">
        <f>+A6+1</f>
        <v>2</v>
      </c>
      <c r="B7" s="3" t="s">
        <v>28</v>
      </c>
      <c r="C7" s="94"/>
      <c r="D7" s="95"/>
      <c r="E7" s="94"/>
      <c r="H7" s="3" t="s">
        <v>28</v>
      </c>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row>
    <row r="8" spans="1:36" x14ac:dyDescent="0.3">
      <c r="A8" s="1">
        <f t="shared" ref="A8:A29" si="0">+A7+1</f>
        <v>3</v>
      </c>
      <c r="C8" s="61"/>
      <c r="E8" s="61"/>
    </row>
    <row r="9" spans="1:36" x14ac:dyDescent="0.3">
      <c r="A9" s="1">
        <f t="shared" si="0"/>
        <v>4</v>
      </c>
      <c r="B9" s="6" t="s">
        <v>29</v>
      </c>
      <c r="C9" s="62">
        <f>+HLOOKUP($C$6,H6:AN29,A9,FALSE)</f>
        <v>2757.7442338119999</v>
      </c>
      <c r="D9" s="79">
        <f>+HLOOKUP($D$6,$H$6:$BG$29,A9,FALSE)</f>
        <v>2666.661990758414</v>
      </c>
      <c r="E9" s="63">
        <f>D9/C9-1</f>
        <v>-3.3027806544511873E-2</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J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3450.6989014341748</v>
      </c>
      <c r="AJ9" s="24">
        <f t="shared" si="4"/>
        <v>2666.661990758414</v>
      </c>
    </row>
    <row r="10" spans="1:36" ht="5.25" customHeight="1" x14ac:dyDescent="0.3">
      <c r="A10" s="1">
        <f t="shared" si="0"/>
        <v>5</v>
      </c>
      <c r="C10" s="61"/>
      <c r="E10" s="61"/>
    </row>
    <row r="11" spans="1:36" x14ac:dyDescent="0.3">
      <c r="A11" s="1">
        <f t="shared" si="0"/>
        <v>6</v>
      </c>
      <c r="B11" s="5" t="s">
        <v>30</v>
      </c>
      <c r="C11" s="64">
        <f>+HLOOKUP($C$6,$H$6:$AN$31,A11,FALSE)</f>
        <v>1024.871184053</v>
      </c>
      <c r="D11" s="80">
        <f>+HLOOKUP($D$6,$H$6:$BF$29,A11,FALSE)</f>
        <v>750.89746617828928</v>
      </c>
      <c r="E11" s="65">
        <f>+D11/C11-1</f>
        <v>-0.26732502790374335</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750.89746617828928</v>
      </c>
    </row>
    <row r="12" spans="1:36" x14ac:dyDescent="0.3">
      <c r="A12" s="1">
        <f t="shared" si="0"/>
        <v>7</v>
      </c>
      <c r="B12" s="5" t="s">
        <v>31</v>
      </c>
      <c r="C12" s="64">
        <f>+HLOOKUP($C$6,$H$6:$AN$31,A12,FALSE)</f>
        <v>1732.873049759</v>
      </c>
      <c r="D12" s="80">
        <f>+HLOOKUP($D$6,$H$6:$BF$29,A12,FALSE)</f>
        <v>1883.0254070750898</v>
      </c>
      <c r="E12" s="66">
        <f t="shared" ref="E12" si="5">+D12/C12-1</f>
        <v>8.6649369575556801E-2</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1883.0254070750898</v>
      </c>
    </row>
    <row r="13" spans="1:36" x14ac:dyDescent="0.3">
      <c r="A13" s="1">
        <f t="shared" si="0"/>
        <v>8</v>
      </c>
      <c r="B13" s="5" t="s">
        <v>32</v>
      </c>
      <c r="C13" s="64">
        <f>+HLOOKUP($C$6,$H$6:$AN$31,A13,FALSE)</f>
        <v>0</v>
      </c>
      <c r="D13" s="80">
        <f>+HLOOKUP($D$6,$H$6:$BF$29,A13,FALSE)</f>
        <v>32.739117505034869</v>
      </c>
      <c r="E13" s="65" t="s">
        <v>44</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4">
        <v>0</v>
      </c>
      <c r="AG13" s="74">
        <v>399.97817196043991</v>
      </c>
      <c r="AH13" s="74">
        <v>500.52412506537814</v>
      </c>
      <c r="AI13" s="74">
        <v>786.93005229864139</v>
      </c>
      <c r="AJ13" s="74">
        <v>32.739117505034869</v>
      </c>
    </row>
    <row r="14" spans="1:36" ht="5.25" customHeight="1" x14ac:dyDescent="0.3">
      <c r="A14" s="1">
        <f t="shared" si="0"/>
        <v>9</v>
      </c>
      <c r="C14" s="68">
        <f>+HLOOKUP($C$6,$H$6:$AN$31,A14,FALSE)</f>
        <v>0</v>
      </c>
      <c r="D14" s="78">
        <f>+HLOOKUP($D$6,$H$6:$BF$29,A14,FALSE)</f>
        <v>0</v>
      </c>
      <c r="E14" s="61"/>
      <c r="I14" s="26"/>
      <c r="J14" s="26"/>
      <c r="K14" s="26"/>
      <c r="L14" s="26"/>
      <c r="M14" s="26"/>
      <c r="N14" s="26"/>
      <c r="O14" s="26"/>
      <c r="P14" s="26"/>
      <c r="Q14" s="26"/>
      <c r="R14" s="26"/>
      <c r="S14" s="26"/>
      <c r="T14" s="26"/>
      <c r="U14" s="26"/>
      <c r="V14" s="26"/>
      <c r="W14" s="26"/>
      <c r="X14" s="26"/>
      <c r="Y14" s="26"/>
      <c r="Z14" s="26"/>
      <c r="AA14" s="26"/>
      <c r="AB14" s="26"/>
      <c r="AC14" s="26"/>
      <c r="AD14" s="26"/>
      <c r="AE14" s="26"/>
    </row>
    <row r="15" spans="1:36" x14ac:dyDescent="0.3">
      <c r="A15" s="1">
        <f t="shared" si="0"/>
        <v>10</v>
      </c>
      <c r="B15" s="5" t="s">
        <v>33</v>
      </c>
      <c r="C15" s="64">
        <f>+HLOOKUP($C$6,$H$6:$AN$31,A15,FALSE)</f>
        <v>1558</v>
      </c>
      <c r="D15" s="80">
        <f>+HLOOKUP($D$6,$H$6:$BF$29,A15,FALSE)</f>
        <v>1469.0334855196272</v>
      </c>
      <c r="E15" s="65">
        <f t="shared" ref="E15" si="6">+D15/C15-1</f>
        <v>-5.7103025982267464E-2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1493.8879987067903</v>
      </c>
      <c r="AJ15" s="25">
        <v>1469.0334855196272</v>
      </c>
    </row>
    <row r="16" spans="1:36" ht="10.5" customHeight="1" x14ac:dyDescent="0.3">
      <c r="A16" s="1">
        <f t="shared" si="0"/>
        <v>11</v>
      </c>
      <c r="C16" s="61"/>
      <c r="E16" s="61"/>
    </row>
    <row r="17" spans="1:36" x14ac:dyDescent="0.3">
      <c r="A17" s="1">
        <f t="shared" si="0"/>
        <v>12</v>
      </c>
      <c r="B17" s="6" t="s">
        <v>34</v>
      </c>
      <c r="C17" s="62">
        <f>+HLOOKUP($C$6,$H$6:$AN$31,A17,FALSE)</f>
        <v>2668.8125995100431</v>
      </c>
      <c r="D17" s="79">
        <f>+HLOOKUP($D$6,$H$6:$BF$29,A17,FALSE)</f>
        <v>2458.4844822617697</v>
      </c>
      <c r="E17" s="63">
        <f>D17/C17-1</f>
        <v>-7.8809623907983184E-2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J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row>
    <row r="18" spans="1:36" ht="5.25" customHeight="1" x14ac:dyDescent="0.3">
      <c r="A18" s="1">
        <f t="shared" si="0"/>
        <v>13</v>
      </c>
      <c r="C18" s="61"/>
      <c r="E18" s="61"/>
    </row>
    <row r="19" spans="1:36" x14ac:dyDescent="0.3">
      <c r="A19" s="1">
        <f t="shared" si="0"/>
        <v>14</v>
      </c>
      <c r="B19" s="28" t="s">
        <v>35</v>
      </c>
      <c r="C19" s="67">
        <f t="shared" ref="C19:C29" si="10">+HLOOKUP($C$6,$H$6:$AN$31,A19,FALSE)</f>
        <v>1236.0530999999996</v>
      </c>
      <c r="D19" s="81">
        <f t="shared" ref="D19:D29" si="11">+HLOOKUP($D$6,$H$6:$BF$29,A19,FALSE)</f>
        <v>1965.3616099999999</v>
      </c>
      <c r="E19" s="70">
        <f>+D19/C19-1</f>
        <v>0.59003008042292082</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row>
    <row r="20" spans="1:36" x14ac:dyDescent="0.3">
      <c r="A20" s="1">
        <f t="shared" si="0"/>
        <v>15</v>
      </c>
      <c r="B20" s="28" t="s">
        <v>36</v>
      </c>
      <c r="C20" s="67">
        <f t="shared" si="10"/>
        <v>1327.2567999999999</v>
      </c>
      <c r="D20" s="81">
        <f t="shared" si="11"/>
        <v>450.48900000000003</v>
      </c>
      <c r="E20" s="70">
        <f>+D20/C20-1</f>
        <v>-0.66058640648893263</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J20" si="14">SUM(AF21:AF23)</f>
        <v>1327.2567999999999</v>
      </c>
      <c r="AG20" s="29">
        <f t="shared" si="14"/>
        <v>1838.4737999999998</v>
      </c>
      <c r="AH20" s="29">
        <f t="shared" si="14"/>
        <v>2108.0429999999997</v>
      </c>
      <c r="AI20" s="29">
        <f t="shared" si="14"/>
        <v>1977.8985600000001</v>
      </c>
      <c r="AJ20" s="29">
        <f t="shared" si="14"/>
        <v>450.48900000000003</v>
      </c>
    </row>
    <row r="21" spans="1:36" x14ac:dyDescent="0.3">
      <c r="A21" s="1">
        <f t="shared" si="0"/>
        <v>16</v>
      </c>
      <c r="B21" s="5" t="s">
        <v>37</v>
      </c>
      <c r="C21" s="64">
        <f t="shared" si="10"/>
        <v>979.50349999999992</v>
      </c>
      <c r="D21" s="80">
        <f t="shared" si="11"/>
        <v>62.475000000000001</v>
      </c>
      <c r="E21" s="65">
        <f t="shared" ref="E21:E29" si="15">+D21/C21-1</f>
        <v>-0.93621768579693687</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row>
    <row r="22" spans="1:36" x14ac:dyDescent="0.3">
      <c r="A22" s="1">
        <f t="shared" si="0"/>
        <v>17</v>
      </c>
      <c r="B22" s="5" t="s">
        <v>38</v>
      </c>
      <c r="C22" s="64">
        <f t="shared" si="10"/>
        <v>2.0883000000000003</v>
      </c>
      <c r="D22" s="80">
        <f t="shared" si="11"/>
        <v>5.99</v>
      </c>
      <c r="E22" s="65">
        <f t="shared" si="15"/>
        <v>1.8683618254082264</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row>
    <row r="23" spans="1:36" x14ac:dyDescent="0.3">
      <c r="A23" s="1">
        <f t="shared" si="0"/>
        <v>18</v>
      </c>
      <c r="B23" s="5" t="s">
        <v>39</v>
      </c>
      <c r="C23" s="64">
        <f t="shared" si="10"/>
        <v>345.66499999999996</v>
      </c>
      <c r="D23" s="80">
        <f t="shared" si="11"/>
        <v>382.024</v>
      </c>
      <c r="E23" s="65">
        <f t="shared" si="15"/>
        <v>0.10518565663286727</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row>
    <row r="24" spans="1:36" x14ac:dyDescent="0.3">
      <c r="A24" s="1">
        <f t="shared" si="0"/>
        <v>19</v>
      </c>
      <c r="B24" s="28" t="s">
        <v>40</v>
      </c>
      <c r="C24" s="67">
        <f t="shared" si="10"/>
        <v>105.50269951004388</v>
      </c>
      <c r="D24" s="81">
        <f t="shared" si="11"/>
        <v>42.633872261769937</v>
      </c>
      <c r="E24" s="70">
        <f t="shared" si="15"/>
        <v>-0.59589780678824067</v>
      </c>
      <c r="H24" s="28" t="s">
        <v>40</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row>
    <row r="25" spans="1:36" x14ac:dyDescent="0.3">
      <c r="A25" s="1">
        <f t="shared" si="0"/>
        <v>20</v>
      </c>
      <c r="B25" s="5" t="s">
        <v>41</v>
      </c>
      <c r="C25" s="25">
        <f t="shared" si="10"/>
        <v>98.468849971651082</v>
      </c>
      <c r="D25" s="80">
        <f t="shared" si="11"/>
        <v>35.235859575000035</v>
      </c>
      <c r="E25" s="65">
        <f t="shared" si="15"/>
        <v>-0.6421623733277646</v>
      </c>
      <c r="H25" s="5" t="s">
        <v>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25">
        <v>19.689539782499988</v>
      </c>
      <c r="AH25" s="25">
        <v>21.309542624999999</v>
      </c>
      <c r="AI25" s="25">
        <v>34.433420699999992</v>
      </c>
      <c r="AJ25" s="25">
        <v>35.235859575000035</v>
      </c>
    </row>
    <row r="26" spans="1:36" x14ac:dyDescent="0.3">
      <c r="A26" s="1">
        <f t="shared" si="0"/>
        <v>21</v>
      </c>
      <c r="B26" s="5" t="s">
        <v>42</v>
      </c>
      <c r="C26" s="25">
        <f t="shared" si="10"/>
        <v>7.0338495383928006</v>
      </c>
      <c r="D26" s="80">
        <f t="shared" si="11"/>
        <v>7.398012686769901</v>
      </c>
      <c r="E26" s="65">
        <f t="shared" si="15"/>
        <v>5.1772951125751421E-2</v>
      </c>
      <c r="H26" s="5" t="s">
        <v>42</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row>
    <row r="27" spans="1:36" x14ac:dyDescent="0.3">
      <c r="A27" s="1">
        <f t="shared" si="0"/>
        <v>22</v>
      </c>
      <c r="B27" s="28" t="s">
        <v>43</v>
      </c>
      <c r="C27" s="60">
        <f t="shared" si="10"/>
        <v>102.91959303165353</v>
      </c>
      <c r="D27" s="81">
        <f t="shared" si="11"/>
        <v>269.7378305259823</v>
      </c>
      <c r="E27" s="89">
        <f t="shared" si="15"/>
        <v>1.6208598633209017</v>
      </c>
      <c r="H27" s="28" t="s">
        <v>43</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row>
    <row r="28" spans="1:36" ht="5.25" customHeight="1" x14ac:dyDescent="0.3">
      <c r="A28" s="1">
        <f t="shared" si="0"/>
        <v>23</v>
      </c>
      <c r="C28" s="68">
        <f t="shared" si="10"/>
        <v>0</v>
      </c>
      <c r="D28" s="78">
        <f t="shared" si="11"/>
        <v>0</v>
      </c>
      <c r="E28" s="61"/>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3">
      <c r="A29" s="1">
        <f t="shared" si="0"/>
        <v>24</v>
      </c>
      <c r="B29" s="20" t="s">
        <v>45</v>
      </c>
      <c r="C29" s="71">
        <f t="shared" si="10"/>
        <v>-102.91959303165353</v>
      </c>
      <c r="D29" s="82">
        <f t="shared" si="11"/>
        <v>-236.99871302094743</v>
      </c>
      <c r="E29" s="72">
        <f t="shared" si="15"/>
        <v>1.3027560257458175</v>
      </c>
      <c r="H29" s="20" t="s">
        <v>45</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J29" si="22">AF13-AF27</f>
        <v>-102.91959303165353</v>
      </c>
      <c r="AG29" s="27">
        <f t="shared" si="22"/>
        <v>399.97817196043991</v>
      </c>
      <c r="AH29" s="27">
        <f t="shared" si="22"/>
        <v>500.52412506537814</v>
      </c>
      <c r="AI29" s="27">
        <f t="shared" si="22"/>
        <v>786.93005229864139</v>
      </c>
      <c r="AJ29" s="27">
        <f t="shared" si="22"/>
        <v>-236.99871302094743</v>
      </c>
    </row>
    <row r="30" spans="1:36" x14ac:dyDescent="0.3">
      <c r="C30" s="61"/>
      <c r="E30" s="61"/>
    </row>
    <row r="34" spans="1:36" ht="23.25" x14ac:dyDescent="0.35">
      <c r="B34" s="12" t="s">
        <v>46</v>
      </c>
      <c r="C34" s="13"/>
      <c r="D34" s="77"/>
      <c r="E34" s="13"/>
      <c r="H34" s="12" t="s">
        <v>46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row>
    <row r="36" spans="1:36" x14ac:dyDescent="0.3">
      <c r="A36" s="1">
        <v>1</v>
      </c>
      <c r="B36" s="3" t="s">
        <v>1</v>
      </c>
      <c r="C36" s="94" t="s">
        <v>3</v>
      </c>
      <c r="D36" s="95" t="s">
        <v>141</v>
      </c>
      <c r="E36" s="94" t="s">
        <v>4</v>
      </c>
      <c r="H36" s="3" t="s">
        <v>5</v>
      </c>
      <c r="I36" s="94" t="s">
        <v>6</v>
      </c>
      <c r="J36" s="94" t="s">
        <v>7</v>
      </c>
      <c r="K36" s="94" t="s">
        <v>8</v>
      </c>
      <c r="L36" s="94" t="s">
        <v>9</v>
      </c>
      <c r="M36" s="94" t="s">
        <v>10</v>
      </c>
      <c r="N36" s="94" t="s">
        <v>11</v>
      </c>
      <c r="O36" s="94" t="s">
        <v>12</v>
      </c>
      <c r="P36" s="94" t="s">
        <v>13</v>
      </c>
      <c r="Q36" s="94" t="s">
        <v>14</v>
      </c>
      <c r="R36" s="94" t="s">
        <v>15</v>
      </c>
      <c r="S36" s="94" t="s">
        <v>16</v>
      </c>
      <c r="T36" s="94" t="s">
        <v>17</v>
      </c>
      <c r="U36" s="94" t="s">
        <v>18</v>
      </c>
      <c r="V36" s="94" t="s">
        <v>19</v>
      </c>
      <c r="W36" s="94" t="s">
        <v>20</v>
      </c>
      <c r="X36" s="94" t="s">
        <v>21</v>
      </c>
      <c r="Y36" s="94" t="s">
        <v>22</v>
      </c>
      <c r="Z36" s="94" t="s">
        <v>23</v>
      </c>
      <c r="AA36" s="94" t="s">
        <v>24</v>
      </c>
      <c r="AB36" s="94" t="s">
        <v>2</v>
      </c>
      <c r="AC36" s="94" t="s">
        <v>25</v>
      </c>
      <c r="AD36" s="94" t="s">
        <v>26</v>
      </c>
      <c r="AE36" s="94" t="s">
        <v>27</v>
      </c>
      <c r="AF36" s="94" t="s">
        <v>3</v>
      </c>
      <c r="AG36" s="94" t="s">
        <v>128</v>
      </c>
      <c r="AH36" s="94" t="s">
        <v>130</v>
      </c>
      <c r="AI36" s="94" t="s">
        <v>139</v>
      </c>
      <c r="AJ36" s="94" t="s">
        <v>141</v>
      </c>
    </row>
    <row r="37" spans="1:36" x14ac:dyDescent="0.3">
      <c r="A37" s="1">
        <v>2</v>
      </c>
      <c r="B37" s="3" t="s">
        <v>28</v>
      </c>
      <c r="C37" s="94"/>
      <c r="D37" s="95"/>
      <c r="E37" s="94"/>
      <c r="H37" s="3" t="s">
        <v>28</v>
      </c>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row>
    <row r="38" spans="1:36" x14ac:dyDescent="0.3">
      <c r="A38" s="1">
        <v>3</v>
      </c>
    </row>
    <row r="39" spans="1:36" x14ac:dyDescent="0.3">
      <c r="A39" s="1">
        <v>4</v>
      </c>
      <c r="B39" s="6" t="s">
        <v>29</v>
      </c>
      <c r="C39" s="24">
        <f>+HLOOKUP($C$36,$H$36:$AN$51,A39,FALSE)</f>
        <v>825.0815780808764</v>
      </c>
      <c r="D39" s="79">
        <f>+HLOOKUP($D$36,H36:AN51,A39,FALSE)</f>
        <v>980.50098632936749</v>
      </c>
      <c r="E39" s="63">
        <f>D39/C39-1</f>
        <v>0.18836853515744911</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J39" si="26">AF41+AF42</f>
        <v>825.0815780808764</v>
      </c>
      <c r="AG39" s="24">
        <f t="shared" si="26"/>
        <v>625.4311328433331</v>
      </c>
      <c r="AH39" s="24">
        <f t="shared" si="26"/>
        <v>627.93849402771116</v>
      </c>
      <c r="AI39" s="24">
        <f t="shared" si="26"/>
        <v>1018.8991882348981</v>
      </c>
      <c r="AJ39" s="24">
        <f t="shared" si="26"/>
        <v>980.50098632936749</v>
      </c>
    </row>
    <row r="40" spans="1:36" ht="6" customHeight="1" x14ac:dyDescent="0.3">
      <c r="A40" s="1">
        <v>5</v>
      </c>
      <c r="E40" s="61"/>
      <c r="I40" s="33"/>
      <c r="J40" s="33"/>
      <c r="K40" s="33"/>
      <c r="L40" s="33"/>
      <c r="M40" s="33"/>
      <c r="N40" s="33"/>
      <c r="O40" s="33"/>
      <c r="P40" s="33"/>
    </row>
    <row r="41" spans="1:36" x14ac:dyDescent="0.3">
      <c r="A41" s="1">
        <v>6</v>
      </c>
      <c r="B41" s="5" t="s">
        <v>47</v>
      </c>
      <c r="C41" s="25">
        <f>+HLOOKUP($C$36,$H$36:$AN$51,A41,FALSE)</f>
        <v>732.89679752741722</v>
      </c>
      <c r="D41" s="80">
        <f>+HLOOKUP($D$36,$H$36:$BE$51,A41,FALSE)</f>
        <v>700.63336412872525</v>
      </c>
      <c r="E41" s="65">
        <f>+D41/C41-1</f>
        <v>-4.402179612128132E-2</v>
      </c>
      <c r="F41" s="56"/>
      <c r="H41" s="5" t="s">
        <v>47</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625.4311328433331</v>
      </c>
      <c r="AH41" s="25">
        <v>503.65128391584426</v>
      </c>
      <c r="AI41" s="25">
        <v>676.5434032131883</v>
      </c>
      <c r="AJ41" s="25">
        <v>700.63336412872525</v>
      </c>
    </row>
    <row r="42" spans="1:36" x14ac:dyDescent="0.3">
      <c r="A42" s="1">
        <v>7</v>
      </c>
      <c r="B42" s="5" t="s">
        <v>32</v>
      </c>
      <c r="C42" s="25">
        <f>+HLOOKUP($C$36,$H$36:$AN$51,A42,FALSE)</f>
        <v>92.184780553459206</v>
      </c>
      <c r="D42" s="80">
        <f>+HLOOKUP($D$36,$H$36:$BE$51,A42,FALSE)</f>
        <v>279.86762220064224</v>
      </c>
      <c r="E42" s="65">
        <f>+D42/C42-1</f>
        <v>2.0359417305153014</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124.28721011186687</v>
      </c>
      <c r="AI42" s="25">
        <v>342.35578502170983</v>
      </c>
      <c r="AJ42" s="25">
        <v>279.86762220064224</v>
      </c>
    </row>
    <row r="43" spans="1:36" ht="6" customHeight="1" x14ac:dyDescent="0.3">
      <c r="A43" s="1">
        <v>8</v>
      </c>
      <c r="C43" s="26">
        <f>+HLOOKUP($C$36,$H$36:$AN$51,A43,FALSE)</f>
        <v>0</v>
      </c>
      <c r="E43" s="61"/>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row>
    <row r="44" spans="1:36" x14ac:dyDescent="0.3">
      <c r="A44" s="1">
        <v>9</v>
      </c>
      <c r="B44" s="5" t="s">
        <v>33</v>
      </c>
      <c r="C44" s="25">
        <f>+HLOOKUP($C$36,$H$36:$AN$51,A44,FALSE)</f>
        <v>558.47159496645133</v>
      </c>
      <c r="D44" s="80">
        <f>+HLOOKUP($D$36,$H$36:$BE$51,A44,FALSE)</f>
        <v>558.44795283732333</v>
      </c>
      <c r="E44" s="65">
        <f t="shared" ref="E44" si="27">+D44/C44-1</f>
        <v>-4.2333628677115875E-5</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row>
    <row r="45" spans="1:36" ht="12.75" customHeight="1" x14ac:dyDescent="0.3">
      <c r="A45" s="1">
        <v>10</v>
      </c>
      <c r="E45" s="61"/>
      <c r="I45" s="33"/>
      <c r="J45" s="33"/>
      <c r="K45" s="33"/>
      <c r="L45" s="33"/>
      <c r="M45" s="33"/>
      <c r="N45" s="33"/>
      <c r="O45" s="33"/>
      <c r="P45" s="33"/>
    </row>
    <row r="46" spans="1:36" x14ac:dyDescent="0.3">
      <c r="A46" s="1">
        <v>11</v>
      </c>
      <c r="B46" s="6" t="s">
        <v>34</v>
      </c>
      <c r="C46" s="24">
        <f>+HLOOKUP($C$36,$H$36:$AN$51,A46,FALSE)</f>
        <v>713.17974191683015</v>
      </c>
      <c r="D46" s="79">
        <f>+HLOOKUP($D$36,$H$36:$BE$51,A46,FALSE)</f>
        <v>989.03271813771471</v>
      </c>
      <c r="E46" s="63">
        <f>D46/C46-1</f>
        <v>0.38679306212409781</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J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row>
    <row r="47" spans="1:36" ht="6" customHeight="1" x14ac:dyDescent="0.3">
      <c r="A47" s="1">
        <v>12</v>
      </c>
      <c r="E47" s="61"/>
      <c r="I47" s="33"/>
      <c r="J47" s="33"/>
      <c r="K47" s="33"/>
      <c r="L47" s="33"/>
      <c r="M47" s="33"/>
      <c r="N47" s="33"/>
      <c r="O47" s="33"/>
      <c r="P47" s="33"/>
    </row>
    <row r="48" spans="1:36" x14ac:dyDescent="0.3">
      <c r="A48" s="1">
        <v>13</v>
      </c>
      <c r="B48" s="5" t="s">
        <v>48</v>
      </c>
      <c r="C48" s="25">
        <f>+HLOOKUP($C$36,$H$36:$AN$51,A48,FALSE)</f>
        <v>713.17974191683015</v>
      </c>
      <c r="D48" s="80">
        <f>+HLOOKUP($D$36,$H$36:$BE$51,A48,FALSE)</f>
        <v>989.03271813771471</v>
      </c>
      <c r="E48" s="65">
        <f t="shared" ref="E48:E49" si="29">+D48/C48-1</f>
        <v>0.38679306212409781</v>
      </c>
      <c r="H48" s="5" t="s">
        <v>48</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row>
    <row r="49" spans="1:36" x14ac:dyDescent="0.3">
      <c r="A49" s="1">
        <v>14</v>
      </c>
      <c r="B49" s="5" t="s">
        <v>43</v>
      </c>
      <c r="C49" s="80">
        <f>+HLOOKUP($C$36,$H$36:$AN$51,A49,FALSE)</f>
        <v>130.70588047518626</v>
      </c>
      <c r="D49" s="80">
        <f>+HLOOKUP($D$36,$H$36:$BE$51,A49,FALSE)</f>
        <v>14.5208717002192</v>
      </c>
      <c r="E49" s="69">
        <f t="shared" si="29"/>
        <v>-0.88890422031948368</v>
      </c>
      <c r="H49" s="5" t="s">
        <v>43</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295.59306089742182</v>
      </c>
      <c r="AH49" s="30">
        <v>129.06447927047896</v>
      </c>
      <c r="AI49" s="30">
        <v>0</v>
      </c>
      <c r="AJ49" s="30">
        <v>14.5208717002192</v>
      </c>
    </row>
    <row r="50" spans="1:36" ht="6" customHeight="1" x14ac:dyDescent="0.3">
      <c r="A50" s="1">
        <v>15</v>
      </c>
      <c r="C50" s="26">
        <f>+HLOOKUP($C$36,$H$36:$AN$51,A50,FALSE)</f>
        <v>0</v>
      </c>
      <c r="D50" s="78">
        <f>+HLOOKUP($D$36,$H$36:$BE$51,A50,FALSE)</f>
        <v>0</v>
      </c>
      <c r="E50" s="61"/>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row>
    <row r="51" spans="1:36" x14ac:dyDescent="0.3">
      <c r="A51" s="1">
        <v>16</v>
      </c>
      <c r="B51" s="27" t="s">
        <v>45</v>
      </c>
      <c r="C51" s="27">
        <f>+HLOOKUP($C$36,$H$36:$AN$51,A51,FALSE)</f>
        <v>-38.521099921727057</v>
      </c>
      <c r="D51" s="82">
        <f>+HLOOKUP($D$36,$H$36:$BE$51,A51,FALSE)</f>
        <v>265.34675050042307</v>
      </c>
      <c r="E51" s="72" t="s">
        <v>44</v>
      </c>
      <c r="H51" s="20" t="s">
        <v>45</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J51" si="30">Z42-Z49</f>
        <v>173.63322159405053</v>
      </c>
      <c r="AA51" s="27">
        <f t="shared" si="30"/>
        <v>371.0847186405806</v>
      </c>
      <c r="AB51" s="27">
        <f t="shared" si="30"/>
        <v>442.96485769998151</v>
      </c>
      <c r="AC51" s="27">
        <f t="shared" si="30"/>
        <v>155.92275581512291</v>
      </c>
      <c r="AD51" s="27">
        <f t="shared" si="30"/>
        <v>208.98762901664603</v>
      </c>
      <c r="AE51" s="27">
        <f t="shared" si="30"/>
        <v>430.10112776056849</v>
      </c>
      <c r="AF51" s="27">
        <f t="shared" si="30"/>
        <v>-38.521099921727057</v>
      </c>
      <c r="AG51" s="27">
        <f t="shared" si="30"/>
        <v>-295.59306089742182</v>
      </c>
      <c r="AH51" s="27">
        <f t="shared" si="30"/>
        <v>-4.7772691586120857</v>
      </c>
      <c r="AI51" s="27">
        <f t="shared" si="30"/>
        <v>342.35578502170983</v>
      </c>
      <c r="AJ51" s="27">
        <f t="shared" si="30"/>
        <v>265.34675050042307</v>
      </c>
    </row>
    <row r="53" spans="1:36" x14ac:dyDescent="0.3">
      <c r="B53" s="1" t="s">
        <v>140</v>
      </c>
    </row>
  </sheetData>
  <mergeCells count="62">
    <mergeCell ref="AJ6:AJ7"/>
    <mergeCell ref="AJ36:AJ37"/>
    <mergeCell ref="AF6:AF7"/>
    <mergeCell ref="AF36:AF37"/>
    <mergeCell ref="AB6:AB7"/>
    <mergeCell ref="AB36:AB37"/>
    <mergeCell ref="AI6:AI7"/>
    <mergeCell ref="AI36:AI37"/>
    <mergeCell ref="AH6:AH7"/>
    <mergeCell ref="AH36:AH37"/>
    <mergeCell ref="AG6:AG7"/>
    <mergeCell ref="AG36:AG37"/>
    <mergeCell ref="Z6:Z7"/>
    <mergeCell ref="Z36:Z37"/>
    <mergeCell ref="AE6:AE7"/>
    <mergeCell ref="AE36:AE37"/>
    <mergeCell ref="AD6:AD7"/>
    <mergeCell ref="AD36:AD37"/>
    <mergeCell ref="AC6:AC7"/>
    <mergeCell ref="AC36:AC37"/>
    <mergeCell ref="AA6:AA7"/>
    <mergeCell ref="AA36:AA37"/>
    <mergeCell ref="Y6:Y7"/>
    <mergeCell ref="Y36:Y37"/>
    <mergeCell ref="V36:V37"/>
    <mergeCell ref="V6:V7"/>
    <mergeCell ref="W6:W7"/>
    <mergeCell ref="X6:X7"/>
    <mergeCell ref="X36:X37"/>
    <mergeCell ref="W36:W37"/>
    <mergeCell ref="Q36:Q37"/>
    <mergeCell ref="R36:R37"/>
    <mergeCell ref="S36:S37"/>
    <mergeCell ref="T36:T37"/>
    <mergeCell ref="U36:U37"/>
    <mergeCell ref="K36:K37"/>
    <mergeCell ref="C6:C7"/>
    <mergeCell ref="D6:D7"/>
    <mergeCell ref="E6:E7"/>
    <mergeCell ref="I6:I7"/>
    <mergeCell ref="J6:J7"/>
    <mergeCell ref="C36:C37"/>
    <mergeCell ref="D36:D37"/>
    <mergeCell ref="E36:E37"/>
    <mergeCell ref="I36:I37"/>
    <mergeCell ref="J36:J37"/>
    <mergeCell ref="U6:U7"/>
    <mergeCell ref="Q6:Q7"/>
    <mergeCell ref="R6:R7"/>
    <mergeCell ref="S6:S7"/>
    <mergeCell ref="K6:K7"/>
    <mergeCell ref="T6:T7"/>
    <mergeCell ref="L6:L7"/>
    <mergeCell ref="M6:M7"/>
    <mergeCell ref="N6:N7"/>
    <mergeCell ref="O6:O7"/>
    <mergeCell ref="P6:P7"/>
    <mergeCell ref="L36:L37"/>
    <mergeCell ref="M36:M37"/>
    <mergeCell ref="N36:N37"/>
    <mergeCell ref="O36:O37"/>
    <mergeCell ref="P36:P37"/>
  </mergeCells>
  <pageMargins left="0.7" right="0.7" top="0.75" bottom="0.75" header="0.3" footer="0.3"/>
  <pageSetup orientation="portrait" r:id="rId1"/>
  <ignoredErrors>
    <ignoredError sqref="I24 J24:AH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50"/>
  <sheetViews>
    <sheetView topLeftCell="N4" zoomScale="90" zoomScaleNormal="90" workbookViewId="0">
      <selection activeCell="Y49" sqref="Y49"/>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3" width="11.42578125" style="1" customWidth="1"/>
    <col min="24" max="24" width="11.42578125" style="1"/>
    <col min="25" max="25" width="13.7109375" style="1" bestFit="1" customWidth="1"/>
    <col min="26" max="16384" width="11.42578125" style="1"/>
  </cols>
  <sheetData>
    <row r="4" spans="1:24" ht="23.25" x14ac:dyDescent="0.35">
      <c r="B4" s="12" t="s">
        <v>49</v>
      </c>
      <c r="C4" s="13"/>
      <c r="D4" s="13"/>
      <c r="E4" s="13"/>
      <c r="H4" s="12" t="s">
        <v>49</v>
      </c>
      <c r="I4" s="13"/>
      <c r="J4" s="13"/>
      <c r="K4" s="13"/>
      <c r="L4" s="13"/>
      <c r="M4" s="13"/>
      <c r="N4" s="13"/>
      <c r="O4" s="13"/>
      <c r="P4" s="13"/>
      <c r="Q4" s="13"/>
      <c r="R4" s="13"/>
      <c r="S4" s="13"/>
      <c r="T4" s="13"/>
      <c r="U4" s="13"/>
      <c r="V4" s="13"/>
      <c r="W4" s="13"/>
      <c r="X4" s="13"/>
    </row>
    <row r="5" spans="1:24" ht="8.25" customHeight="1" x14ac:dyDescent="0.3"/>
    <row r="6" spans="1:24" ht="15.75" customHeight="1" x14ac:dyDescent="0.3">
      <c r="A6" s="1">
        <v>1</v>
      </c>
      <c r="B6" s="3" t="s">
        <v>50</v>
      </c>
      <c r="C6" s="94" t="s">
        <v>3</v>
      </c>
      <c r="D6" s="94" t="s">
        <v>141</v>
      </c>
      <c r="E6" s="94" t="s">
        <v>4</v>
      </c>
      <c r="H6" s="3" t="s">
        <v>50</v>
      </c>
      <c r="I6" s="94" t="s">
        <v>18</v>
      </c>
      <c r="J6" s="94" t="s">
        <v>19</v>
      </c>
      <c r="K6" s="94" t="s">
        <v>20</v>
      </c>
      <c r="L6" s="94" t="s">
        <v>21</v>
      </c>
      <c r="M6" s="94" t="s">
        <v>22</v>
      </c>
      <c r="N6" s="94" t="s">
        <v>23</v>
      </c>
      <c r="O6" s="94" t="s">
        <v>24</v>
      </c>
      <c r="P6" s="94" t="s">
        <v>2</v>
      </c>
      <c r="Q6" s="94" t="s">
        <v>25</v>
      </c>
      <c r="R6" s="94" t="s">
        <v>51</v>
      </c>
      <c r="S6" s="96" t="s">
        <v>27</v>
      </c>
      <c r="T6" s="96" t="s">
        <v>3</v>
      </c>
      <c r="U6" s="94" t="s">
        <v>128</v>
      </c>
      <c r="V6" s="94" t="s">
        <v>130</v>
      </c>
      <c r="W6" s="94" t="s">
        <v>139</v>
      </c>
      <c r="X6" s="94" t="s">
        <v>141</v>
      </c>
    </row>
    <row r="7" spans="1:24" x14ac:dyDescent="0.3">
      <c r="A7" s="1">
        <v>2</v>
      </c>
      <c r="B7" s="3" t="s">
        <v>52</v>
      </c>
      <c r="C7" s="94"/>
      <c r="D7" s="94"/>
      <c r="E7" s="94"/>
      <c r="H7" s="3" t="s">
        <v>52</v>
      </c>
      <c r="I7" s="94"/>
      <c r="J7" s="94"/>
      <c r="K7" s="94"/>
      <c r="L7" s="94"/>
      <c r="M7" s="94"/>
      <c r="N7" s="94"/>
      <c r="O7" s="94"/>
      <c r="P7" s="94"/>
      <c r="Q7" s="94"/>
      <c r="R7" s="94"/>
      <c r="S7" s="96"/>
      <c r="T7" s="96"/>
      <c r="U7" s="94"/>
      <c r="V7" s="94"/>
      <c r="W7" s="94"/>
      <c r="X7" s="94"/>
    </row>
    <row r="8" spans="1:24" ht="6.75" customHeight="1" x14ac:dyDescent="0.3">
      <c r="A8" s="1">
        <v>3</v>
      </c>
    </row>
    <row r="9" spans="1:24" x14ac:dyDescent="0.3">
      <c r="A9" s="1">
        <v>4</v>
      </c>
      <c r="B9" s="2" t="s">
        <v>53</v>
      </c>
      <c r="C9" s="9">
        <f>+HLOOKUP($C$6,$H$6:$AP$46,A9,FALSE)</f>
        <v>352.06973197216138</v>
      </c>
      <c r="D9" s="9">
        <f>+HLOOKUP($D$6,$H$6:$AP$46,A9,FALSE)</f>
        <v>335.74076198907102</v>
      </c>
      <c r="E9" s="38">
        <f>D9/C9-1</f>
        <v>-4.6379931304010857E-2</v>
      </c>
      <c r="H9" s="2" t="s">
        <v>53</v>
      </c>
      <c r="I9" s="9">
        <f t="shared" ref="I9:X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row>
    <row r="10" spans="1:24" x14ac:dyDescent="0.3">
      <c r="A10" s="1">
        <v>5</v>
      </c>
      <c r="B10" s="4" t="s">
        <v>54</v>
      </c>
      <c r="C10" s="86">
        <f t="shared" ref="C10:C45" si="1">+HLOOKUP($C$6,$H$6:$AP$46,A10,FALSE)</f>
        <v>340.84477436216139</v>
      </c>
      <c r="D10" s="86">
        <f t="shared" ref="D10:D46" si="2">+HLOOKUP($D$6,$H$6:$AP$46,A10,FALSE)</f>
        <v>329.10525194999997</v>
      </c>
      <c r="E10" s="36">
        <f t="shared" ref="E10:E11" si="3">+D10/C10-1</f>
        <v>-3.4442430382364275E-2</v>
      </c>
      <c r="H10" s="4" t="s">
        <v>54</v>
      </c>
      <c r="I10" s="86">
        <v>375.70760791999999</v>
      </c>
      <c r="J10" s="86">
        <v>387.07254207000005</v>
      </c>
      <c r="K10" s="86">
        <v>377.56387881999996</v>
      </c>
      <c r="L10" s="86">
        <v>383.95966881999999</v>
      </c>
      <c r="M10" s="86">
        <v>399.36714494</v>
      </c>
      <c r="N10" s="86">
        <v>394.71491316000004</v>
      </c>
      <c r="O10" s="86">
        <f>360.15103961-O11</f>
        <v>353.20982264000003</v>
      </c>
      <c r="P10" s="86">
        <v>378.41628665000002</v>
      </c>
      <c r="Q10" s="86">
        <v>375.03835251999999</v>
      </c>
      <c r="R10" s="86">
        <v>381.06003191000002</v>
      </c>
      <c r="S10" s="86">
        <v>352.25140654999996</v>
      </c>
      <c r="T10" s="86">
        <v>340.84477436216139</v>
      </c>
      <c r="U10" s="86">
        <v>336.26742267000003</v>
      </c>
      <c r="V10" s="86">
        <v>318.16888381999996</v>
      </c>
      <c r="W10" s="86">
        <v>339.68414925000002</v>
      </c>
      <c r="X10" s="86">
        <v>329.10525194999997</v>
      </c>
    </row>
    <row r="11" spans="1:24" x14ac:dyDescent="0.3">
      <c r="A11" s="1">
        <v>6</v>
      </c>
      <c r="B11" s="5" t="s">
        <v>55</v>
      </c>
      <c r="C11" s="7">
        <f t="shared" si="1"/>
        <v>11.224957609999999</v>
      </c>
      <c r="D11" s="7">
        <f t="shared" si="2"/>
        <v>6.635510039071038</v>
      </c>
      <c r="E11" s="36">
        <f t="shared" si="3"/>
        <v>-0.40886101581714229</v>
      </c>
      <c r="H11" s="5" t="s">
        <v>55</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row>
    <row r="12" spans="1:24" ht="5.25" customHeight="1" x14ac:dyDescent="0.3">
      <c r="A12" s="1">
        <v>7</v>
      </c>
      <c r="E12" s="39"/>
    </row>
    <row r="13" spans="1:24" x14ac:dyDescent="0.3">
      <c r="A13" s="1">
        <v>8</v>
      </c>
      <c r="B13" s="6" t="s">
        <v>56</v>
      </c>
      <c r="C13" s="9">
        <f t="shared" si="1"/>
        <v>-142.64274646084766</v>
      </c>
      <c r="D13" s="9">
        <f t="shared" si="2"/>
        <v>-129.18792688000002</v>
      </c>
      <c r="E13" s="38">
        <f>D13/C13-1</f>
        <v>-9.4325298093869026E-2</v>
      </c>
      <c r="H13" s="6" t="s">
        <v>56</v>
      </c>
      <c r="I13" s="9">
        <f t="shared" ref="I13:X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-149.12377948</v>
      </c>
      <c r="V13" s="9">
        <f t="shared" si="4"/>
        <v>-150.30610163</v>
      </c>
      <c r="W13" s="9">
        <f t="shared" si="4"/>
        <v>-147.17815601999999</v>
      </c>
      <c r="X13" s="9">
        <f t="shared" si="4"/>
        <v>-129.18792688000002</v>
      </c>
    </row>
    <row r="14" spans="1:24" x14ac:dyDescent="0.3">
      <c r="A14" s="1">
        <v>9</v>
      </c>
      <c r="B14" s="5" t="s">
        <v>57</v>
      </c>
      <c r="C14" s="8">
        <f t="shared" si="1"/>
        <v>-20.88005158</v>
      </c>
      <c r="D14" s="8">
        <f t="shared" si="2"/>
        <v>-38.097026920000005</v>
      </c>
      <c r="E14" s="36">
        <f>+D14/C14-1</f>
        <v>0.82456574755262202</v>
      </c>
      <c r="H14" s="5" t="s">
        <v>57</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row>
    <row r="15" spans="1:24" x14ac:dyDescent="0.3">
      <c r="A15" s="1">
        <v>10</v>
      </c>
      <c r="B15" s="5" t="s">
        <v>58</v>
      </c>
      <c r="C15" s="8">
        <f t="shared" si="1"/>
        <v>-18.777421969999999</v>
      </c>
      <c r="D15" s="8">
        <f t="shared" si="2"/>
        <v>-22.674804890000001</v>
      </c>
      <c r="E15" s="37">
        <f t="shared" ref="E15:E19" si="5">+D15/C15-1</f>
        <v>0.20755686942684193</v>
      </c>
      <c r="H15" s="5" t="s">
        <v>58</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row>
    <row r="16" spans="1:24" x14ac:dyDescent="0.3">
      <c r="A16" s="1">
        <v>11</v>
      </c>
      <c r="B16" s="5" t="s">
        <v>59</v>
      </c>
      <c r="C16" s="8">
        <f t="shared" si="1"/>
        <v>-64.138872550000002</v>
      </c>
      <c r="D16" s="8">
        <f t="shared" si="2"/>
        <v>-31.725625049999998</v>
      </c>
      <c r="E16" s="37">
        <f t="shared" si="5"/>
        <v>-0.50536041890558625</v>
      </c>
      <c r="H16" s="5" t="s">
        <v>59</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row>
    <row r="17" spans="1:26" x14ac:dyDescent="0.3">
      <c r="A17" s="1">
        <v>12</v>
      </c>
      <c r="B17" s="5" t="s">
        <v>60</v>
      </c>
      <c r="C17" s="8">
        <f t="shared" si="1"/>
        <v>-0.97457678084765598</v>
      </c>
      <c r="D17" s="8">
        <f t="shared" si="2"/>
        <v>-1.86275127</v>
      </c>
      <c r="E17" s="37">
        <f t="shared" si="5"/>
        <v>0.91134378184121934</v>
      </c>
      <c r="H17" s="5" t="s">
        <v>60</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row>
    <row r="18" spans="1:26" x14ac:dyDescent="0.3">
      <c r="A18" s="1">
        <v>13</v>
      </c>
      <c r="B18" s="5" t="s">
        <v>61</v>
      </c>
      <c r="C18" s="8">
        <f t="shared" si="1"/>
        <v>-14.40621734</v>
      </c>
      <c r="D18" s="8">
        <f t="shared" si="2"/>
        <v>-10.825311670000003</v>
      </c>
      <c r="E18" s="37">
        <f t="shared" si="5"/>
        <v>-0.24856668377876889</v>
      </c>
      <c r="H18" s="5" t="s">
        <v>61</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row>
    <row r="19" spans="1:26" x14ac:dyDescent="0.3">
      <c r="A19" s="1">
        <v>14</v>
      </c>
      <c r="B19" s="5" t="s">
        <v>62</v>
      </c>
      <c r="C19" s="8">
        <f t="shared" si="1"/>
        <v>-23.46560624</v>
      </c>
      <c r="D19" s="8">
        <f t="shared" si="2"/>
        <v>-24.002407080000005</v>
      </c>
      <c r="E19" s="37">
        <f t="shared" si="5"/>
        <v>2.2876069533842358E-2</v>
      </c>
      <c r="H19" s="5" t="s">
        <v>62</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-18.464075600000001</v>
      </c>
      <c r="V19" s="8">
        <v>-22.845356340000002</v>
      </c>
      <c r="W19" s="8">
        <v>-18.33861169</v>
      </c>
      <c r="X19" s="8">
        <v>-24.002407080000005</v>
      </c>
    </row>
    <row r="20" spans="1:26" ht="5.25" customHeight="1" x14ac:dyDescent="0.3">
      <c r="A20" s="1">
        <v>15</v>
      </c>
      <c r="E20" s="39"/>
    </row>
    <row r="21" spans="1:26" x14ac:dyDescent="0.3">
      <c r="A21" s="1">
        <v>16</v>
      </c>
      <c r="B21" s="6" t="s">
        <v>63</v>
      </c>
      <c r="C21" s="9">
        <f t="shared" si="1"/>
        <v>209.42698551131372</v>
      </c>
      <c r="D21" s="9">
        <f t="shared" si="2"/>
        <v>206.552835109071</v>
      </c>
      <c r="E21" s="38">
        <f>D21/C21-1</f>
        <v>-1.3723878015173274E-2</v>
      </c>
      <c r="H21" s="6" t="s">
        <v>63</v>
      </c>
      <c r="I21" s="9">
        <f t="shared" ref="I21:X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193.48651246000003</v>
      </c>
      <c r="V21" s="9">
        <f t="shared" si="6"/>
        <v>176.20823782999997</v>
      </c>
      <c r="W21" s="9">
        <f t="shared" si="6"/>
        <v>196.82424361000002</v>
      </c>
      <c r="X21" s="9">
        <f t="shared" si="6"/>
        <v>206.552835109071</v>
      </c>
    </row>
    <row r="22" spans="1:26" ht="5.25" customHeight="1" x14ac:dyDescent="0.3">
      <c r="A22" s="1">
        <v>17</v>
      </c>
      <c r="D22" s="1">
        <f t="shared" si="2"/>
        <v>0</v>
      </c>
      <c r="E22" s="39"/>
    </row>
    <row r="23" spans="1:26" x14ac:dyDescent="0.3">
      <c r="A23" s="1">
        <v>18</v>
      </c>
      <c r="B23" s="5" t="s">
        <v>64</v>
      </c>
      <c r="C23" s="8">
        <f t="shared" si="1"/>
        <v>-19.374417829999999</v>
      </c>
      <c r="D23" s="8">
        <f t="shared" si="2"/>
        <v>-17.744413205142642</v>
      </c>
      <c r="E23" s="36">
        <f>+D23/C23-1</f>
        <v>-8.4131798909250488E-2</v>
      </c>
      <c r="H23" s="5" t="s">
        <v>64</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row>
    <row r="24" spans="1:26" x14ac:dyDescent="0.3">
      <c r="A24" s="1">
        <v>19</v>
      </c>
      <c r="B24" s="5" t="s">
        <v>65</v>
      </c>
      <c r="C24" s="8">
        <f t="shared" si="1"/>
        <v>-7.1157827199999995</v>
      </c>
      <c r="D24" s="8">
        <f t="shared" si="2"/>
        <v>-8.8666230960603514</v>
      </c>
      <c r="E24" s="36">
        <f>+D24/C24-1</f>
        <v>0.24605028637810245</v>
      </c>
      <c r="H24" s="5" t="s">
        <v>65</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-6.03616536</v>
      </c>
      <c r="V24" s="8">
        <v>-4.9806314399999998</v>
      </c>
      <c r="W24" s="8">
        <v>-5.2920033700000007</v>
      </c>
      <c r="X24" s="8">
        <v>-8.8666230960603514</v>
      </c>
    </row>
    <row r="25" spans="1:26" x14ac:dyDescent="0.3">
      <c r="A25" s="1">
        <v>20</v>
      </c>
      <c r="B25" s="5" t="s">
        <v>66</v>
      </c>
      <c r="C25" s="8">
        <f t="shared" si="1"/>
        <v>-60.676873370000003</v>
      </c>
      <c r="D25" s="8">
        <f t="shared" si="2"/>
        <v>-62.955401839999993</v>
      </c>
      <c r="E25" s="36">
        <f t="shared" ref="E25" si="7">+D25/C25-1</f>
        <v>3.7551843782487104E-2</v>
      </c>
      <c r="H25" s="5" t="s">
        <v>66</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row>
    <row r="26" spans="1:26" ht="5.25" customHeight="1" x14ac:dyDescent="0.3">
      <c r="A26" s="1">
        <v>21</v>
      </c>
      <c r="E26" s="39"/>
    </row>
    <row r="27" spans="1:26" x14ac:dyDescent="0.3">
      <c r="A27" s="1">
        <v>22</v>
      </c>
      <c r="B27" s="6" t="s">
        <v>67</v>
      </c>
      <c r="C27" s="9">
        <f t="shared" si="1"/>
        <v>122.25991159131371</v>
      </c>
      <c r="D27" s="9">
        <f t="shared" si="2"/>
        <v>116.98639696786802</v>
      </c>
      <c r="E27" s="38">
        <f>D27/C27-1</f>
        <v>-4.3133636813625587E-2</v>
      </c>
      <c r="H27" s="6" t="s">
        <v>67</v>
      </c>
      <c r="I27" s="9">
        <f t="shared" ref="I27:X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94.280945699999975</v>
      </c>
      <c r="W27" s="9">
        <f t="shared" si="8"/>
        <v>112.88332715000003</v>
      </c>
      <c r="X27" s="9">
        <f t="shared" si="8"/>
        <v>116.98639696786802</v>
      </c>
    </row>
    <row r="28" spans="1:26" ht="5.25" customHeight="1" x14ac:dyDescent="0.3">
      <c r="A28" s="1">
        <v>23</v>
      </c>
      <c r="C28" s="1">
        <f t="shared" si="1"/>
        <v>0</v>
      </c>
      <c r="D28" s="49">
        <f t="shared" si="2"/>
        <v>0</v>
      </c>
      <c r="E28" s="39"/>
      <c r="I28" s="49"/>
      <c r="K28" s="49"/>
      <c r="M28" s="49"/>
      <c r="O28" s="49"/>
      <c r="Q28" s="49"/>
      <c r="R28" s="49"/>
      <c r="S28" s="49"/>
      <c r="T28" s="49"/>
      <c r="U28" s="49"/>
      <c r="V28" s="49"/>
      <c r="W28" s="49"/>
      <c r="X28" s="49"/>
    </row>
    <row r="29" spans="1:26" x14ac:dyDescent="0.3">
      <c r="A29" s="1">
        <v>24</v>
      </c>
      <c r="B29" s="6" t="s">
        <v>68</v>
      </c>
      <c r="C29" s="9">
        <f t="shared" si="1"/>
        <v>182.93678496131372</v>
      </c>
      <c r="D29" s="9">
        <f>+HLOOKUP($D$6,$H$6:$AP$46,A29,FALSE)</f>
        <v>179.941798807868</v>
      </c>
      <c r="E29" s="38">
        <f>D29/C29-1</f>
        <v>-1.6371699951319707E-2</v>
      </c>
      <c r="H29" s="6" t="s">
        <v>68</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155.26443031999997</v>
      </c>
      <c r="W29" s="9">
        <f t="shared" si="9"/>
        <v>174.98602269000003</v>
      </c>
      <c r="X29" s="9">
        <f t="shared" si="9"/>
        <v>179.941798807868</v>
      </c>
    </row>
    <row r="30" spans="1:26" ht="5.25" customHeight="1" x14ac:dyDescent="0.3">
      <c r="A30" s="1">
        <v>25</v>
      </c>
      <c r="E30" s="39"/>
    </row>
    <row r="31" spans="1:26" x14ac:dyDescent="0.3">
      <c r="A31" s="1">
        <v>26</v>
      </c>
      <c r="B31" s="5" t="s">
        <v>69</v>
      </c>
      <c r="C31" s="8">
        <f t="shared" si="1"/>
        <v>5.9181313199999996</v>
      </c>
      <c r="D31" s="8">
        <f t="shared" si="2"/>
        <v>1.4703000900000001</v>
      </c>
      <c r="E31" s="36">
        <f>+D31/C31-1</f>
        <v>-0.75156007690616766</v>
      </c>
      <c r="F31" s="33"/>
      <c r="G31" s="33"/>
      <c r="H31" s="5" t="s">
        <v>69</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33"/>
      <c r="Z31" s="33"/>
    </row>
    <row r="32" spans="1:26" x14ac:dyDescent="0.3">
      <c r="A32" s="1">
        <v>27</v>
      </c>
      <c r="B32" s="5" t="s">
        <v>70</v>
      </c>
      <c r="C32" s="8">
        <f t="shared" si="1"/>
        <v>-22.548721329999999</v>
      </c>
      <c r="D32" s="8">
        <f t="shared" si="2"/>
        <v>-22.307162131803203</v>
      </c>
      <c r="E32" s="36">
        <f t="shared" ref="E32:E35" si="10">+D32/C32-1</f>
        <v>-1.0712767019538827E-2</v>
      </c>
      <c r="F32" s="33"/>
      <c r="G32" s="33"/>
      <c r="H32" s="5" t="s">
        <v>70</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33"/>
      <c r="Z32" s="33"/>
    </row>
    <row r="33" spans="1:26" x14ac:dyDescent="0.3">
      <c r="A33" s="1">
        <v>28</v>
      </c>
      <c r="B33" s="5" t="s">
        <v>71</v>
      </c>
      <c r="C33" s="8">
        <f t="shared" si="1"/>
        <v>-1.5457248899999978</v>
      </c>
      <c r="D33" s="8">
        <f t="shared" si="2"/>
        <v>3.48765462486777</v>
      </c>
      <c r="E33" s="83" t="s">
        <v>44</v>
      </c>
      <c r="F33" s="33"/>
      <c r="G33" s="33"/>
      <c r="H33" s="5" t="s">
        <v>71</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33"/>
      <c r="Z33" s="33"/>
    </row>
    <row r="34" spans="1:26" x14ac:dyDescent="0.3">
      <c r="A34" s="1">
        <v>29</v>
      </c>
      <c r="B34" s="5" t="s">
        <v>72</v>
      </c>
      <c r="C34" s="8">
        <f t="shared" si="1"/>
        <v>2.0129498799999999</v>
      </c>
      <c r="D34" s="8">
        <f t="shared" si="2"/>
        <v>3.2800220100000002</v>
      </c>
      <c r="E34" s="36">
        <f t="shared" si="10"/>
        <v>0.62946034702066234</v>
      </c>
      <c r="F34" s="33"/>
      <c r="G34" s="33"/>
      <c r="H34" s="5" t="s">
        <v>72</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33"/>
      <c r="Z34" s="33"/>
    </row>
    <row r="35" spans="1:26" x14ac:dyDescent="0.3">
      <c r="A35" s="1">
        <v>30</v>
      </c>
      <c r="B35" s="5" t="s">
        <v>73</v>
      </c>
      <c r="C35" s="8">
        <f t="shared" si="1"/>
        <v>-84.094405260000002</v>
      </c>
      <c r="D35" s="8">
        <f t="shared" si="2"/>
        <v>-193.31770803000001</v>
      </c>
      <c r="E35" s="36">
        <f t="shared" si="10"/>
        <v>1.298817708886904</v>
      </c>
      <c r="F35" s="33"/>
      <c r="G35" s="33"/>
      <c r="H35" s="5" t="s">
        <v>73</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33"/>
      <c r="Z35" s="33"/>
    </row>
    <row r="36" spans="1:26" ht="5.25" customHeight="1" x14ac:dyDescent="0.3">
      <c r="A36" s="1">
        <v>31</v>
      </c>
      <c r="E36" s="39"/>
    </row>
    <row r="37" spans="1:26" x14ac:dyDescent="0.3">
      <c r="A37" s="1">
        <v>32</v>
      </c>
      <c r="B37" s="6" t="s">
        <v>74</v>
      </c>
      <c r="C37" s="9">
        <f t="shared" si="1"/>
        <v>-100.25777028</v>
      </c>
      <c r="D37" s="9">
        <f t="shared" si="2"/>
        <v>-207.38689343693545</v>
      </c>
      <c r="E37" s="38">
        <f>D37/C37-1</f>
        <v>1.0685368611105663</v>
      </c>
      <c r="F37" s="33"/>
      <c r="G37" s="33"/>
      <c r="H37" s="6" t="s">
        <v>74</v>
      </c>
      <c r="I37" s="9">
        <f t="shared" ref="I37:X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33"/>
      <c r="Z37" s="33"/>
    </row>
    <row r="38" spans="1:26" ht="5.25" customHeight="1" x14ac:dyDescent="0.3">
      <c r="A38" s="1">
        <v>33</v>
      </c>
      <c r="E38" s="39"/>
    </row>
    <row r="39" spans="1:26" x14ac:dyDescent="0.3">
      <c r="A39" s="1">
        <v>34</v>
      </c>
      <c r="B39" s="6" t="s">
        <v>75</v>
      </c>
      <c r="C39" s="9">
        <f t="shared" si="1"/>
        <v>22.002141311313707</v>
      </c>
      <c r="D39" s="9">
        <f t="shared" si="2"/>
        <v>-90.400496469067434</v>
      </c>
      <c r="E39" s="63" t="s">
        <v>44</v>
      </c>
      <c r="F39" s="33"/>
      <c r="G39" s="33"/>
      <c r="H39" s="6" t="s">
        <v>75</v>
      </c>
      <c r="I39" s="9">
        <f t="shared" ref="I39:X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72.17015920999998</v>
      </c>
      <c r="W39" s="9">
        <f t="shared" si="12"/>
        <v>88.036666690000018</v>
      </c>
      <c r="X39" s="9">
        <f t="shared" si="12"/>
        <v>-90.400496469067434</v>
      </c>
      <c r="Y39" s="33"/>
      <c r="Z39" s="33"/>
    </row>
    <row r="40" spans="1:26" ht="5.25" customHeight="1" x14ac:dyDescent="0.3">
      <c r="A40" s="1">
        <v>35</v>
      </c>
      <c r="E40" s="39"/>
    </row>
    <row r="41" spans="1:26" x14ac:dyDescent="0.3">
      <c r="A41" s="1">
        <v>36</v>
      </c>
      <c r="B41" s="5" t="s">
        <v>76</v>
      </c>
      <c r="C41" s="8">
        <f t="shared" si="1"/>
        <v>-2.5187302100000011</v>
      </c>
      <c r="D41" s="8">
        <f t="shared" si="2"/>
        <v>27.518141006061192</v>
      </c>
      <c r="E41" s="65" t="s">
        <v>44</v>
      </c>
      <c r="F41" s="33"/>
      <c r="G41" s="33"/>
      <c r="H41" s="5" t="s">
        <v>76</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33"/>
      <c r="Z41" s="33"/>
    </row>
    <row r="42" spans="1:26" ht="6.75" customHeight="1" x14ac:dyDescent="0.3">
      <c r="A42" s="1">
        <v>37</v>
      </c>
      <c r="E42" s="39"/>
    </row>
    <row r="43" spans="1:26" x14ac:dyDescent="0.3">
      <c r="A43" s="1">
        <v>38</v>
      </c>
      <c r="B43" s="3" t="s">
        <v>77</v>
      </c>
      <c r="C43" s="10">
        <f t="shared" si="1"/>
        <v>19.483411101313706</v>
      </c>
      <c r="D43" s="17">
        <f t="shared" si="2"/>
        <v>-62.882355463006242</v>
      </c>
      <c r="E43" s="90" t="s">
        <v>44</v>
      </c>
      <c r="F43" s="33"/>
      <c r="G43" s="33"/>
      <c r="H43" s="3" t="s">
        <v>77</v>
      </c>
      <c r="I43" s="10">
        <f t="shared" ref="I43:X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49.667237199999981</v>
      </c>
      <c r="W43" s="10">
        <f t="shared" si="13"/>
        <v>62.207152130000019</v>
      </c>
      <c r="X43" s="17">
        <f t="shared" si="13"/>
        <v>-62.882355463006242</v>
      </c>
      <c r="Y43" s="33"/>
      <c r="Z43" s="33"/>
    </row>
    <row r="44" spans="1:26" ht="5.25" customHeight="1" x14ac:dyDescent="0.3">
      <c r="A44" s="1">
        <v>39</v>
      </c>
      <c r="E44" s="39"/>
    </row>
    <row r="45" spans="1:26" x14ac:dyDescent="0.3">
      <c r="A45" s="1">
        <v>40</v>
      </c>
      <c r="B45" s="5" t="s">
        <v>78</v>
      </c>
      <c r="C45" s="8">
        <f t="shared" si="1"/>
        <v>18.238692839152353</v>
      </c>
      <c r="D45" s="8">
        <f t="shared" si="2"/>
        <v>0.45741877699381206</v>
      </c>
      <c r="E45" s="65" t="s">
        <v>44</v>
      </c>
      <c r="F45" s="33"/>
      <c r="G45" s="33"/>
      <c r="H45" s="5" t="s">
        <v>78</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row>
    <row r="46" spans="1:26" x14ac:dyDescent="0.3">
      <c r="A46" s="1">
        <v>41</v>
      </c>
      <c r="B46" s="5" t="s">
        <v>79</v>
      </c>
      <c r="C46" s="8">
        <f>+HLOOKUP($C$6,$H$6:$AP$46,A46,FALSE)</f>
        <v>1.2447182600000002</v>
      </c>
      <c r="D46" s="8">
        <f t="shared" si="2"/>
        <v>-63.323743620000002</v>
      </c>
      <c r="E46" s="65" t="s">
        <v>44</v>
      </c>
      <c r="F46" s="33"/>
      <c r="G46" s="33"/>
      <c r="H46" s="5" t="s">
        <v>79</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row>
    <row r="48" spans="1:26" x14ac:dyDescent="0.3">
      <c r="I48" s="33"/>
      <c r="J48" s="33"/>
      <c r="K48" s="33"/>
      <c r="L48" s="33"/>
      <c r="M48" s="33"/>
      <c r="N48" s="33"/>
      <c r="O48" s="33"/>
      <c r="S48" s="33"/>
      <c r="T48" s="33"/>
      <c r="U48" s="33"/>
      <c r="V48" s="33"/>
      <c r="W48" s="33"/>
      <c r="X48" s="33"/>
    </row>
    <row r="49" spans="2:5" ht="76.5" customHeight="1" x14ac:dyDescent="0.3">
      <c r="B49" s="97" t="s">
        <v>131</v>
      </c>
      <c r="C49" s="97"/>
      <c r="D49" s="97"/>
      <c r="E49" s="97"/>
    </row>
    <row r="50" spans="2:5" ht="207" customHeight="1" x14ac:dyDescent="0.3">
      <c r="B50" s="97"/>
      <c r="C50" s="97"/>
      <c r="D50" s="97"/>
      <c r="E50" s="97"/>
    </row>
  </sheetData>
  <mergeCells count="21">
    <mergeCell ref="X6:X7"/>
    <mergeCell ref="B50:E50"/>
    <mergeCell ref="I6:I7"/>
    <mergeCell ref="J6:J7"/>
    <mergeCell ref="C6:C7"/>
    <mergeCell ref="D6:D7"/>
    <mergeCell ref="E6:E7"/>
    <mergeCell ref="B49:E49"/>
    <mergeCell ref="R6:R7"/>
    <mergeCell ref="P6:P7"/>
    <mergeCell ref="Q6:Q7"/>
    <mergeCell ref="K6:K7"/>
    <mergeCell ref="L6:L7"/>
    <mergeCell ref="M6:M7"/>
    <mergeCell ref="N6:N7"/>
    <mergeCell ref="O6:O7"/>
    <mergeCell ref="W6:W7"/>
    <mergeCell ref="V6:V7"/>
    <mergeCell ref="U6:U7"/>
    <mergeCell ref="T6:T7"/>
    <mergeCell ref="S6:S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K91"/>
  <sheetViews>
    <sheetView topLeftCell="B34" zoomScaleNormal="100" zoomScaleSheetLayoutView="100" workbookViewId="0">
      <selection activeCell="H53" sqref="H53"/>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31" width="11.42578125" style="1" customWidth="1"/>
    <col min="32" max="32" width="11.42578125" style="1"/>
    <col min="33" max="35" width="11.42578125" style="1" customWidth="1"/>
    <col min="36" max="16384" width="11.42578125" style="1"/>
  </cols>
  <sheetData>
    <row r="5" spans="2:37" ht="23.25" x14ac:dyDescent="0.35">
      <c r="B5" s="12" t="s">
        <v>80</v>
      </c>
      <c r="C5" s="13"/>
      <c r="D5" s="13"/>
      <c r="E5" s="13"/>
      <c r="H5" s="12" t="s">
        <v>81</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row>
    <row r="7" spans="2:37" x14ac:dyDescent="0.3">
      <c r="B7" s="3" t="s">
        <v>84</v>
      </c>
      <c r="C7" s="94" t="s">
        <v>3</v>
      </c>
      <c r="D7" s="94" t="s">
        <v>141</v>
      </c>
      <c r="E7" s="94" t="s">
        <v>83</v>
      </c>
      <c r="H7" s="3" t="s">
        <v>84</v>
      </c>
      <c r="I7" s="76" t="s">
        <v>6</v>
      </c>
      <c r="J7" s="76" t="s">
        <v>7</v>
      </c>
      <c r="K7" s="76" t="s">
        <v>8</v>
      </c>
      <c r="L7" s="76" t="s">
        <v>9</v>
      </c>
      <c r="M7" s="76" t="s">
        <v>10</v>
      </c>
      <c r="N7" s="76" t="s">
        <v>11</v>
      </c>
      <c r="O7" s="76" t="s">
        <v>12</v>
      </c>
      <c r="P7" s="76" t="s">
        <v>13</v>
      </c>
      <c r="Q7" s="76" t="s">
        <v>14</v>
      </c>
      <c r="R7" s="76" t="s">
        <v>15</v>
      </c>
      <c r="S7" s="76" t="s">
        <v>16</v>
      </c>
      <c r="T7" s="76" t="s">
        <v>17</v>
      </c>
      <c r="U7" s="94" t="s">
        <v>18</v>
      </c>
      <c r="V7" s="94" t="s">
        <v>19</v>
      </c>
      <c r="W7" s="94" t="s">
        <v>20</v>
      </c>
      <c r="X7" s="94" t="s">
        <v>21</v>
      </c>
      <c r="Y7" s="94" t="s">
        <v>22</v>
      </c>
      <c r="Z7" s="94" t="s">
        <v>23</v>
      </c>
      <c r="AA7" s="94" t="s">
        <v>24</v>
      </c>
      <c r="AB7" s="94" t="s">
        <v>2</v>
      </c>
      <c r="AC7" s="94" t="s">
        <v>25</v>
      </c>
      <c r="AD7" s="94" t="s">
        <v>26</v>
      </c>
      <c r="AE7" s="94" t="s">
        <v>27</v>
      </c>
      <c r="AF7" s="94" t="s">
        <v>3</v>
      </c>
      <c r="AG7" s="94" t="s">
        <v>128</v>
      </c>
      <c r="AH7" s="94" t="s">
        <v>130</v>
      </c>
      <c r="AI7" s="94" t="s">
        <v>139</v>
      </c>
      <c r="AJ7" s="94" t="s">
        <v>141</v>
      </c>
    </row>
    <row r="8" spans="2:37" x14ac:dyDescent="0.3">
      <c r="B8" s="3" t="s">
        <v>52</v>
      </c>
      <c r="C8" s="94"/>
      <c r="D8" s="94"/>
      <c r="E8" s="94"/>
      <c r="H8" s="3" t="s">
        <v>52</v>
      </c>
      <c r="I8" s="76"/>
      <c r="J8" s="76"/>
      <c r="K8" s="76"/>
      <c r="L8" s="76"/>
      <c r="M8" s="76"/>
      <c r="N8" s="76"/>
      <c r="O8" s="76"/>
      <c r="P8" s="76"/>
      <c r="Q8" s="76"/>
      <c r="R8" s="76"/>
      <c r="S8" s="76"/>
      <c r="T8" s="76"/>
      <c r="U8" s="94"/>
      <c r="V8" s="94"/>
      <c r="W8" s="94"/>
      <c r="X8" s="94"/>
      <c r="Y8" s="94"/>
      <c r="Z8" s="94"/>
      <c r="AA8" s="94"/>
      <c r="AB8" s="94"/>
      <c r="AC8" s="94"/>
      <c r="AD8" s="94"/>
      <c r="AE8" s="94"/>
      <c r="AF8" s="94"/>
      <c r="AG8" s="94"/>
      <c r="AH8" s="94"/>
      <c r="AI8" s="94"/>
      <c r="AJ8" s="94"/>
    </row>
    <row r="10" spans="2:37" x14ac:dyDescent="0.3">
      <c r="B10" s="2" t="s">
        <v>84</v>
      </c>
      <c r="C10" s="9">
        <v>292.7</v>
      </c>
      <c r="D10" s="9">
        <f>SUM(D11:D15)</f>
        <v>285.4155440290711</v>
      </c>
      <c r="E10" s="38">
        <f t="shared" ref="E10:E33" si="0">D10/C10-1</f>
        <v>-2.4887106152814753E-2</v>
      </c>
      <c r="H10" s="2" t="s">
        <v>84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54"/>
    </row>
    <row r="11" spans="2:37" x14ac:dyDescent="0.3">
      <c r="B11" s="5" t="s">
        <v>85</v>
      </c>
      <c r="C11" s="7">
        <v>104.94583420000004</v>
      </c>
      <c r="D11" s="7">
        <v>82.932513090000043</v>
      </c>
      <c r="E11" s="36">
        <f t="shared" si="0"/>
        <v>-0.20975888445508195</v>
      </c>
      <c r="H11" s="5" t="s">
        <v>85</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7">
        <f>110.34880305-AJ64</f>
        <v>82.93251309</v>
      </c>
      <c r="AK11" s="54"/>
    </row>
    <row r="12" spans="2:37" x14ac:dyDescent="0.3">
      <c r="B12" s="5" t="s">
        <v>86</v>
      </c>
      <c r="C12" s="7">
        <v>186.82783484000001</v>
      </c>
      <c r="D12" s="7">
        <v>182.34156679</v>
      </c>
      <c r="E12" s="36">
        <f t="shared" si="0"/>
        <v>-2.401284612564325E-2</v>
      </c>
      <c r="H12" s="5" t="s">
        <v>86</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5">
        <v>141.20456391000002</v>
      </c>
      <c r="AA12" s="45">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7">
        <f>188.34526278-AJ65</f>
        <v>182.34156679</v>
      </c>
      <c r="AK12" s="54"/>
    </row>
    <row r="13" spans="2:37" x14ac:dyDescent="0.3">
      <c r="B13" s="5" t="s">
        <v>87</v>
      </c>
      <c r="C13" s="7">
        <v>4.5668948321613527</v>
      </c>
      <c r="D13" s="7">
        <v>15.143313110000008</v>
      </c>
      <c r="E13" s="36">
        <f t="shared" si="0"/>
        <v>2.3158882931475793</v>
      </c>
      <c r="H13" s="5" t="s">
        <v>87</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5">
        <v>39.212896179999994</v>
      </c>
      <c r="AA13" s="45">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7">
        <f>24.28213842-AJ66</f>
        <v>15.143313109999999</v>
      </c>
      <c r="AK13" s="54"/>
    </row>
    <row r="14" spans="2:37" x14ac:dyDescent="0.3">
      <c r="B14" s="5" t="s">
        <v>57</v>
      </c>
      <c r="C14" s="58"/>
      <c r="D14" s="45"/>
      <c r="E14" s="58"/>
      <c r="H14" s="5" t="s">
        <v>57</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5">
        <v>13.981938399999999</v>
      </c>
      <c r="AA14" s="45">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7">
        <v>6.129047700000001</v>
      </c>
      <c r="AK14" s="54"/>
    </row>
    <row r="15" spans="2:37" x14ac:dyDescent="0.3">
      <c r="B15" s="5" t="s">
        <v>55</v>
      </c>
      <c r="C15" s="7">
        <v>-3.5342073000000069</v>
      </c>
      <c r="D15" s="7">
        <v>4.9981510390710397</v>
      </c>
      <c r="E15" s="36">
        <f t="shared" si="0"/>
        <v>-2.4142212425035252</v>
      </c>
      <c r="H15" s="5" t="s">
        <v>55</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5">
        <v>5.0303974700000005</v>
      </c>
      <c r="AA15" s="45">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7">
        <f>6.63551003907104-AJ68</f>
        <v>5.1155398490710393</v>
      </c>
      <c r="AK15" s="54"/>
    </row>
    <row r="16" spans="2:37" x14ac:dyDescent="0.3">
      <c r="C16" s="33"/>
      <c r="D16" s="33"/>
      <c r="E16" s="41"/>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54"/>
    </row>
    <row r="17" spans="2:37" x14ac:dyDescent="0.3">
      <c r="B17" s="2" t="s">
        <v>88</v>
      </c>
      <c r="C17" s="9">
        <f t="shared" ref="C17" si="2">SUM(C18:C23)</f>
        <v>-122.81442830084765</v>
      </c>
      <c r="D17" s="9">
        <f t="shared" ref="D17" si="3">SUM(D18:D23)</f>
        <v>-109.44310507</v>
      </c>
      <c r="E17" s="38">
        <f>D17/C17-1</f>
        <v>-0.10887420489466515</v>
      </c>
      <c r="H17" s="2" t="s">
        <v>88</v>
      </c>
      <c r="I17" s="9">
        <f t="shared" ref="I17:AJ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-133.15707723</v>
      </c>
      <c r="AH17" s="9">
        <f t="shared" si="4"/>
        <v>-130.48381037000001</v>
      </c>
      <c r="AI17" s="9">
        <f t="shared" si="4"/>
        <v>-122.0033555</v>
      </c>
      <c r="AJ17" s="9">
        <f t="shared" si="4"/>
        <v>-103.64530324</v>
      </c>
      <c r="AK17" s="54"/>
    </row>
    <row r="18" spans="2:37" x14ac:dyDescent="0.3">
      <c r="B18" s="5" t="s">
        <v>57</v>
      </c>
      <c r="C18" s="45">
        <v>-27.963098360000004</v>
      </c>
      <c r="D18" s="45">
        <v>-45.109438670000031</v>
      </c>
      <c r="E18" s="36">
        <f t="shared" si="0"/>
        <v>0.61317741293386585</v>
      </c>
      <c r="H18" s="5" t="s">
        <v>57</v>
      </c>
      <c r="I18" s="45">
        <v>-48.867815859999993</v>
      </c>
      <c r="J18" s="45">
        <v>-36.536173910000002</v>
      </c>
      <c r="K18" s="45">
        <v>-36.232333570000002</v>
      </c>
      <c r="L18" s="45">
        <v>-40.281641289999996</v>
      </c>
      <c r="M18" s="45">
        <v>-39.09474281</v>
      </c>
      <c r="N18" s="45">
        <v>-34.689093559999996</v>
      </c>
      <c r="O18" s="45">
        <v>-34.50693442</v>
      </c>
      <c r="P18" s="45">
        <v>-33.299999999999997</v>
      </c>
      <c r="Q18" s="45">
        <v>-34.796432860000003</v>
      </c>
      <c r="R18" s="45">
        <v>-36.290084159999992</v>
      </c>
      <c r="S18" s="45">
        <v>-35.83344452</v>
      </c>
      <c r="T18" s="45">
        <v>-34.904950130000003</v>
      </c>
      <c r="U18" s="45">
        <v>-40.870053159999991</v>
      </c>
      <c r="V18" s="45">
        <v>-36.607482070000003</v>
      </c>
      <c r="W18" s="45">
        <v>-38.842737790000008</v>
      </c>
      <c r="X18" s="45">
        <v>-40.685668849999999</v>
      </c>
      <c r="Y18" s="45">
        <v>-39.213009910000004</v>
      </c>
      <c r="Z18" s="45">
        <v>-31.770287920000001</v>
      </c>
      <c r="AA18" s="45">
        <v>-26.527575679999998</v>
      </c>
      <c r="AB18" s="45">
        <f>+-32.17954707-AB71</f>
        <v>-32.179547069999998</v>
      </c>
      <c r="AC18" s="45">
        <f>+-32.9777754-AC71</f>
        <v>-32.4816121</v>
      </c>
      <c r="AD18" s="45">
        <f>+-34.29679217-AD71</f>
        <v>-33.566455930000004</v>
      </c>
      <c r="AE18" s="45">
        <v>-49.28598399000002</v>
      </c>
      <c r="AF18" s="45">
        <f>+-20.88005158-AF71</f>
        <v>-19.960651899999998</v>
      </c>
      <c r="AG18" s="45">
        <f>+-21.55022939-AG71</f>
        <v>-20.83099112</v>
      </c>
      <c r="AH18" s="45">
        <f>+-26.60999613-AH71</f>
        <v>-24.390609949999998</v>
      </c>
      <c r="AI18" s="45">
        <f>+-26.50304141-AI71</f>
        <v>-25.258113340000001</v>
      </c>
      <c r="AJ18" s="45">
        <f>+-38.09702692-AJ71</f>
        <v>-36.941916479999996</v>
      </c>
      <c r="AK18" s="54"/>
    </row>
    <row r="19" spans="2:37" x14ac:dyDescent="0.3">
      <c r="B19" s="5" t="s">
        <v>58</v>
      </c>
      <c r="C19" s="45">
        <v>-18.427504539999994</v>
      </c>
      <c r="D19" s="45">
        <v>-22.674676280000007</v>
      </c>
      <c r="E19" s="36">
        <f t="shared" si="0"/>
        <v>0.2304800267871765</v>
      </c>
      <c r="H19" s="5" t="s">
        <v>58</v>
      </c>
      <c r="I19" s="45">
        <v>-18.03067094</v>
      </c>
      <c r="J19" s="45">
        <v>-3.3591411400000002</v>
      </c>
      <c r="K19" s="45">
        <v>-20.369487509999999</v>
      </c>
      <c r="L19" s="45">
        <v>-29.147778030000001</v>
      </c>
      <c r="M19" s="45">
        <v>-4.5187954299999999</v>
      </c>
      <c r="N19" s="45">
        <v>-9.2159443799999998</v>
      </c>
      <c r="O19" s="45">
        <v>-10.38048916</v>
      </c>
      <c r="P19" s="45">
        <v>-16.5</v>
      </c>
      <c r="Q19" s="45">
        <v>-5.5495712899999994</v>
      </c>
      <c r="R19" s="45">
        <v>-6.9293658100000002</v>
      </c>
      <c r="S19" s="45">
        <v>-38.774170070000004</v>
      </c>
      <c r="T19" s="45">
        <v>-34.718472030000001</v>
      </c>
      <c r="U19" s="45">
        <v>-7.4512985600000015</v>
      </c>
      <c r="V19" s="45">
        <v>-8.1270384000000018</v>
      </c>
      <c r="W19" s="45">
        <v>-12.170216480000001</v>
      </c>
      <c r="X19" s="45">
        <v>-15.217228350000001</v>
      </c>
      <c r="Y19" s="45">
        <v>-7.642425229999998</v>
      </c>
      <c r="Z19" s="45">
        <v>-8.2504383900000011</v>
      </c>
      <c r="AA19" s="45">
        <v>-12.82375993</v>
      </c>
      <c r="AB19" s="45">
        <f>+-10.25707385-AB72</f>
        <v>-10.25332315</v>
      </c>
      <c r="AC19" s="45">
        <f>+-2.75986665-AC72</f>
        <v>-2.4879566200000003</v>
      </c>
      <c r="AD19" s="45">
        <f>+-13.18502617-AD72</f>
        <v>-12.817846660000001</v>
      </c>
      <c r="AE19" s="45">
        <v>-30.11858333</v>
      </c>
      <c r="AF19" s="45">
        <f>+-18.77742197-AF72</f>
        <v>-18.427504539999997</v>
      </c>
      <c r="AG19" s="45">
        <f>+-15.50763813-AG72</f>
        <v>-14.17307183</v>
      </c>
      <c r="AH19" s="45">
        <f>+-7.04974417-AH72</f>
        <v>-6.5616336200000003</v>
      </c>
      <c r="AI19" s="45">
        <f>+-8.86610442-AI72</f>
        <v>-8.8063862099999994</v>
      </c>
      <c r="AJ19" s="45">
        <f>+-22.67480489-AJ72</f>
        <v>-22.67467628</v>
      </c>
      <c r="AK19" s="54"/>
    </row>
    <row r="20" spans="2:37" x14ac:dyDescent="0.3">
      <c r="B20" s="5" t="s">
        <v>59</v>
      </c>
      <c r="C20" s="45">
        <v>-43.382659269999976</v>
      </c>
      <c r="D20" s="45">
        <v>-12.156151909999977</v>
      </c>
      <c r="E20" s="36">
        <f t="shared" si="0"/>
        <v>-0.7197923752358304</v>
      </c>
      <c r="H20" s="5" t="s">
        <v>59</v>
      </c>
      <c r="I20" s="45">
        <v>-143.05921096000003</v>
      </c>
      <c r="J20" s="45">
        <v>-115.28823815000001</v>
      </c>
      <c r="K20" s="45">
        <v>-64.623558400000007</v>
      </c>
      <c r="L20" s="45">
        <v>-18.6760698</v>
      </c>
      <c r="M20" s="45">
        <v>-95.077913459999991</v>
      </c>
      <c r="N20" s="45">
        <v>-96.246866560000015</v>
      </c>
      <c r="O20" s="45">
        <v>-48.765143299999998</v>
      </c>
      <c r="P20" s="45">
        <v>-11.3</v>
      </c>
      <c r="Q20" s="45">
        <v>-55.49246531</v>
      </c>
      <c r="R20" s="45">
        <v>-48.625604530000011</v>
      </c>
      <c r="S20" s="45">
        <v>-29.351692119999996</v>
      </c>
      <c r="T20" s="45">
        <v>-46.499171390000001</v>
      </c>
      <c r="U20" s="45">
        <v>-74.428830290000008</v>
      </c>
      <c r="V20" s="45">
        <v>-74.671550390000007</v>
      </c>
      <c r="W20" s="45">
        <v>-44.972191940000002</v>
      </c>
      <c r="X20" s="45">
        <v>-22.572275439999995</v>
      </c>
      <c r="Y20" s="45">
        <v>-81.834264469999994</v>
      </c>
      <c r="Z20" s="45">
        <v>-91.752166529999982</v>
      </c>
      <c r="AA20" s="45">
        <v>-63.272530880000005</v>
      </c>
      <c r="AB20" s="45">
        <f>+-51.49424782-AB73</f>
        <v>-26.208514819999998</v>
      </c>
      <c r="AC20" s="45">
        <f>+-103.54780074-AC73</f>
        <v>-83.935614360000002</v>
      </c>
      <c r="AD20" s="45">
        <f>+-95.37933399-AD73</f>
        <v>-79.202876680000003</v>
      </c>
      <c r="AE20" s="45">
        <v>-48.18053414000002</v>
      </c>
      <c r="AF20" s="45">
        <f>+-64.13887255-AF73</f>
        <v>-43.382659270000005</v>
      </c>
      <c r="AG20" s="45">
        <f>+-68.50728894-AG73</f>
        <v>-57.381276899999996</v>
      </c>
      <c r="AH20" s="45">
        <f>+-69.67391141-AH73</f>
        <v>-55.093791430000003</v>
      </c>
      <c r="AI20" s="45">
        <f>+-75.50659227-AI73</f>
        <v>-54.870246770000001</v>
      </c>
      <c r="AJ20" s="45">
        <f>+-31.72562505-AJ73</f>
        <v>-12.156151910000002</v>
      </c>
      <c r="AK20" s="54"/>
    </row>
    <row r="21" spans="2:37" x14ac:dyDescent="0.3">
      <c r="B21" s="5" t="s">
        <v>60</v>
      </c>
      <c r="C21" s="45">
        <v>-0.9733454408476554</v>
      </c>
      <c r="D21" s="45">
        <v>-0.94337102999999889</v>
      </c>
      <c r="E21" s="36">
        <f t="shared" si="0"/>
        <v>-3.0795244514170372E-2</v>
      </c>
      <c r="H21" s="5" t="s">
        <v>60</v>
      </c>
      <c r="I21" s="45">
        <v>-22.91047446</v>
      </c>
      <c r="J21" s="45">
        <v>-43.010705830000006</v>
      </c>
      <c r="K21" s="45">
        <v>-40.598616540000009</v>
      </c>
      <c r="L21" s="45">
        <v>-3.2749097999999996</v>
      </c>
      <c r="M21" s="45">
        <v>-22.496929869999999</v>
      </c>
      <c r="N21" s="45">
        <v>-18.099470910000001</v>
      </c>
      <c r="O21" s="45">
        <v>-1.5190404399999999</v>
      </c>
      <c r="P21" s="45">
        <v>-2</v>
      </c>
      <c r="Q21" s="45">
        <v>-2.0902260800000003</v>
      </c>
      <c r="R21" s="45">
        <v>-23.231005809999996</v>
      </c>
      <c r="S21" s="45">
        <v>-13.097372880000002</v>
      </c>
      <c r="T21" s="45">
        <v>-2.91121008</v>
      </c>
      <c r="U21" s="45">
        <v>-6.969882909999999</v>
      </c>
      <c r="V21" s="45">
        <v>-16.593912970000002</v>
      </c>
      <c r="W21" s="45">
        <v>-4.990396689999999</v>
      </c>
      <c r="X21" s="45">
        <v>-2.59113864</v>
      </c>
      <c r="Y21" s="45">
        <v>-3.0085850299999999</v>
      </c>
      <c r="Z21" s="45">
        <v>-4.8410693299999998</v>
      </c>
      <c r="AA21" s="45">
        <v>-3.6377084799999992</v>
      </c>
      <c r="AB21" s="45">
        <f>+-3.58230685-AB74</f>
        <v>-3.5823068500000002</v>
      </c>
      <c r="AC21" s="45">
        <f>+-9.14473538-AC74</f>
        <v>-9.1447353800000002</v>
      </c>
      <c r="AD21" s="45">
        <v>-2.1464366200000002</v>
      </c>
      <c r="AE21" s="45">
        <v>-0.41594635999999952</v>
      </c>
      <c r="AF21" s="45">
        <f>+-0.974576780847656-AF74</f>
        <v>-0.97457678084765598</v>
      </c>
      <c r="AG21" s="45">
        <f>+-4.29868093</f>
        <v>-4.2986809299999997</v>
      </c>
      <c r="AH21" s="45">
        <f>+-AH74-2.94319108</f>
        <v>-2.9431910800000001</v>
      </c>
      <c r="AI21" s="45">
        <v>-0.41815340000000006</v>
      </c>
      <c r="AJ21" s="45">
        <v>-1.86275127</v>
      </c>
      <c r="AK21" s="54"/>
    </row>
    <row r="22" spans="2:37" x14ac:dyDescent="0.3">
      <c r="B22" s="5" t="s">
        <v>61</v>
      </c>
      <c r="C22" s="45">
        <v>-14.406217340000005</v>
      </c>
      <c r="D22" s="45">
        <v>-10.825311670000005</v>
      </c>
      <c r="E22" s="36">
        <f t="shared" si="0"/>
        <v>-0.248566683778769</v>
      </c>
      <c r="H22" s="5" t="s">
        <v>61</v>
      </c>
      <c r="I22" s="45">
        <v>-23.41590613</v>
      </c>
      <c r="J22" s="45">
        <v>-25.471509249999997</v>
      </c>
      <c r="K22" s="45">
        <v>-24.229548649999998</v>
      </c>
      <c r="L22" s="45">
        <v>-19.288644770000001</v>
      </c>
      <c r="M22" s="45">
        <v>-26.610703540000006</v>
      </c>
      <c r="N22" s="45">
        <v>-22.176684440000002</v>
      </c>
      <c r="O22" s="45">
        <v>-20.448241290000002</v>
      </c>
      <c r="P22" s="45">
        <v>-8.4</v>
      </c>
      <c r="Q22" s="45">
        <v>-18.665973629999996</v>
      </c>
      <c r="R22" s="45">
        <v>-16.86084202</v>
      </c>
      <c r="S22" s="45">
        <v>-18.844166730000001</v>
      </c>
      <c r="T22" s="45">
        <v>-9.0097784399999981</v>
      </c>
      <c r="U22" s="45">
        <v>-18.267814120000004</v>
      </c>
      <c r="V22" s="45">
        <v>-19.587985530000005</v>
      </c>
      <c r="W22" s="45">
        <v>-21.775002570000002</v>
      </c>
      <c r="X22" s="45">
        <v>-14.182322660000001</v>
      </c>
      <c r="Y22" s="45">
        <v>-22.118387720000001</v>
      </c>
      <c r="Z22" s="45">
        <v>-22.376940360000003</v>
      </c>
      <c r="AA22" s="45">
        <v>-23.068639080000001</v>
      </c>
      <c r="AB22" s="45">
        <v>-19.234630080000002</v>
      </c>
      <c r="AC22" s="45">
        <v>-25.951997500000001</v>
      </c>
      <c r="AD22" s="45">
        <v>-25.329593030000002</v>
      </c>
      <c r="AE22" s="45">
        <v>-7.9583244999999962</v>
      </c>
      <c r="AF22" s="45">
        <v>-14.40621734</v>
      </c>
      <c r="AG22" s="45">
        <v>-20.795866490000002</v>
      </c>
      <c r="AH22" s="45">
        <v>-21.183902500000002</v>
      </c>
      <c r="AI22" s="45">
        <f>+-17.54565283-AI75</f>
        <v>-14.311844090000001</v>
      </c>
      <c r="AJ22" s="45">
        <f>+-10.82531167-AJ74</f>
        <v>-9.905931429999999</v>
      </c>
      <c r="AK22" s="54"/>
    </row>
    <row r="23" spans="2:37" x14ac:dyDescent="0.3">
      <c r="B23" s="5" t="s">
        <v>89</v>
      </c>
      <c r="C23" s="45">
        <v>-17.66160335</v>
      </c>
      <c r="D23" s="45">
        <v>-17.734155509999994</v>
      </c>
      <c r="E23" s="36">
        <f t="shared" si="0"/>
        <v>4.1079033744686466E-3</v>
      </c>
      <c r="H23" s="5" t="s">
        <v>89</v>
      </c>
      <c r="I23" s="45">
        <v>-19.06721697</v>
      </c>
      <c r="J23" s="45">
        <v>-21.910840070000003</v>
      </c>
      <c r="K23" s="45">
        <v>-27.707132019999996</v>
      </c>
      <c r="L23" s="45">
        <v>-38.350595890000008</v>
      </c>
      <c r="M23" s="45">
        <v>-17.36380879</v>
      </c>
      <c r="N23" s="45">
        <v>-20.837634659999999</v>
      </c>
      <c r="O23" s="45">
        <v>-20.404946679999998</v>
      </c>
      <c r="P23" s="45">
        <v>-27.2</v>
      </c>
      <c r="Q23" s="45">
        <v>-16.163761940000001</v>
      </c>
      <c r="R23" s="45">
        <v>-18.221297059999998</v>
      </c>
      <c r="S23" s="45">
        <v>-18.850021900000002</v>
      </c>
      <c r="T23" s="45">
        <v>-14.534520140000001</v>
      </c>
      <c r="U23" s="45">
        <v>-19.276534640000001</v>
      </c>
      <c r="V23" s="45">
        <v>-20.162304949999999</v>
      </c>
      <c r="W23" s="45">
        <v>-24.425988220000001</v>
      </c>
      <c r="X23" s="45">
        <v>-28.84557053</v>
      </c>
      <c r="Y23" s="45">
        <v>-20.02226443</v>
      </c>
      <c r="Z23" s="45">
        <v>-22.141978789999996</v>
      </c>
      <c r="AA23" s="45">
        <v>-16.946930869999999</v>
      </c>
      <c r="AB23" s="45">
        <f>+-28.76885844-AB75</f>
        <v>-25.276053900000001</v>
      </c>
      <c r="AC23" s="45">
        <f>+-19.58196495-AC75</f>
        <v>-16.469341709999998</v>
      </c>
      <c r="AD23" s="45">
        <f>+-21.03649055-AD75</f>
        <v>-17.734178549999999</v>
      </c>
      <c r="AE23" s="45">
        <v>-16.571456010000002</v>
      </c>
      <c r="AF23" s="45">
        <f>+-23.46560624-AF75</f>
        <v>-20.113695880000002</v>
      </c>
      <c r="AG23" s="45">
        <f>+-18.4640756-AG75</f>
        <v>-15.67718996</v>
      </c>
      <c r="AH23" s="45">
        <f>+-22.84535634-AH75</f>
        <v>-20.310681789999997</v>
      </c>
      <c r="AI23" s="45">
        <v>-18.33861169</v>
      </c>
      <c r="AJ23" s="45">
        <f>+-24.00240708-AJ75</f>
        <v>-20.103875870000003</v>
      </c>
      <c r="AK23" s="54"/>
    </row>
    <row r="24" spans="2:37" x14ac:dyDescent="0.3">
      <c r="C24" s="33"/>
      <c r="D24" s="33"/>
      <c r="E24" s="41"/>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54"/>
    </row>
    <row r="25" spans="2:37" x14ac:dyDescent="0.3">
      <c r="B25" s="2" t="s">
        <v>90</v>
      </c>
      <c r="C25" s="9">
        <f>C17+C10</f>
        <v>169.88557169915234</v>
      </c>
      <c r="D25" s="9">
        <f>D17+D10</f>
        <v>175.9724389590711</v>
      </c>
      <c r="E25" s="38">
        <f t="shared" si="0"/>
        <v>3.5829218450039502E-2</v>
      </c>
      <c r="H25" s="2" t="s">
        <v>90</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AF17+AF10</f>
        <v>187.48957726131368</v>
      </c>
      <c r="AG25" s="9">
        <f>AG17+AG10</f>
        <v>171.77131500000004</v>
      </c>
      <c r="AH25" s="9">
        <f>AH17+AH10</f>
        <v>161.24044121999998</v>
      </c>
      <c r="AI25" s="9">
        <f>AI17+AI10</f>
        <v>179.10948660999998</v>
      </c>
      <c r="AJ25" s="9">
        <f>AJ17+AJ10</f>
        <v>188.01667729907101</v>
      </c>
      <c r="AK25" s="54"/>
    </row>
    <row r="26" spans="2:37" x14ac:dyDescent="0.3">
      <c r="C26" s="33"/>
      <c r="D26" s="33"/>
      <c r="E26" s="41"/>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54"/>
    </row>
    <row r="27" spans="2:37" x14ac:dyDescent="0.3">
      <c r="B27" s="5" t="s">
        <v>64</v>
      </c>
      <c r="C27" s="45">
        <v>-17.459000799999998</v>
      </c>
      <c r="D27" s="45">
        <v>-16.217958325142646</v>
      </c>
      <c r="E27" s="36">
        <f t="shared" si="0"/>
        <v>-7.1083247493599511E-2</v>
      </c>
      <c r="H27" s="5" t="s">
        <v>64</v>
      </c>
      <c r="I27" s="45">
        <v>-13.511288560000001</v>
      </c>
      <c r="J27" s="45">
        <v>-15.730694790000001</v>
      </c>
      <c r="K27" s="45">
        <v>-14.94375202</v>
      </c>
      <c r="L27" s="45">
        <v>-15.521342820000001</v>
      </c>
      <c r="M27" s="45">
        <v>-13.954037509999999</v>
      </c>
      <c r="N27" s="45">
        <v>-14.80528035</v>
      </c>
      <c r="O27" s="45">
        <v>-13.73918705</v>
      </c>
      <c r="P27" s="45">
        <v>-13.4</v>
      </c>
      <c r="Q27" s="45">
        <v>-14.19469086</v>
      </c>
      <c r="R27" s="45">
        <v>-15.02867498</v>
      </c>
      <c r="S27" s="45">
        <v>-16.110477190000001</v>
      </c>
      <c r="T27" s="45">
        <v>-16.584576090000002</v>
      </c>
      <c r="U27" s="45">
        <v>-15.693575970000001</v>
      </c>
      <c r="V27" s="45">
        <v>-16.256828450000004</v>
      </c>
      <c r="W27" s="45">
        <v>-17.746854899999999</v>
      </c>
      <c r="X27" s="45">
        <v>-21.240113520000001</v>
      </c>
      <c r="Y27" s="45">
        <v>-19.39190297</v>
      </c>
      <c r="Z27" s="45">
        <v>-18.475289360000001</v>
      </c>
      <c r="AA27" s="45">
        <v>-17.7550566</v>
      </c>
      <c r="AB27" s="45">
        <f>+-19.52008206-AB79</f>
        <v>-18.015688310000002</v>
      </c>
      <c r="AC27" s="45">
        <f>+-18.14563445-AC79</f>
        <v>-16.681628180000001</v>
      </c>
      <c r="AD27" s="45">
        <v>-17.086857370000001</v>
      </c>
      <c r="AE27" s="45">
        <v>-16.935537579999995</v>
      </c>
      <c r="AF27" s="45">
        <v>-17.459000799999998</v>
      </c>
      <c r="AG27" s="45">
        <f>+-15.10311077-AG79</f>
        <v>-13.62732965</v>
      </c>
      <c r="AH27" s="45">
        <f>+-15.96317607-AH79</f>
        <v>-14.437053499999999</v>
      </c>
      <c r="AI27" s="45">
        <f>+-16.54621755-AI79</f>
        <v>-15.012555730000001</v>
      </c>
      <c r="AJ27" s="45">
        <f>+-17.7444132051426-AJ79</f>
        <v>-16.2179583251426</v>
      </c>
      <c r="AK27" s="54"/>
    </row>
    <row r="28" spans="2:37" x14ac:dyDescent="0.3">
      <c r="B28" s="5" t="s">
        <v>91</v>
      </c>
      <c r="C28" s="45">
        <v>-5.66762984</v>
      </c>
      <c r="D28" s="45">
        <v>-7.7333936660603513</v>
      </c>
      <c r="E28" s="36">
        <f t="shared" si="0"/>
        <v>0.36448460544846584</v>
      </c>
      <c r="H28" s="5" t="s">
        <v>91</v>
      </c>
      <c r="I28" s="45">
        <v>-4.6297593400000006</v>
      </c>
      <c r="J28" s="45">
        <v>-5.884523660000001</v>
      </c>
      <c r="K28" s="45">
        <v>-5.5682920600000001</v>
      </c>
      <c r="L28" s="45">
        <v>-6.5220293500000004</v>
      </c>
      <c r="M28" s="45">
        <v>-5.1150877699999997</v>
      </c>
      <c r="N28" s="45">
        <v>-6.0219605700000001</v>
      </c>
      <c r="O28" s="45">
        <v>-6.3402090600000003</v>
      </c>
      <c r="P28" s="45">
        <v>-11</v>
      </c>
      <c r="Q28" s="45">
        <v>-6.5020823799999965</v>
      </c>
      <c r="R28" s="45">
        <v>-8.009772479999997</v>
      </c>
      <c r="S28" s="45">
        <v>-7.9525749999999995</v>
      </c>
      <c r="T28" s="45">
        <v>-9.1727891499999981</v>
      </c>
      <c r="U28" s="45">
        <v>-8.0615386299999994</v>
      </c>
      <c r="V28" s="45">
        <v>-6.9816923099999997</v>
      </c>
      <c r="W28" s="45">
        <v>-7.0422980900000001</v>
      </c>
      <c r="X28" s="45">
        <v>-9.7220474300000017</v>
      </c>
      <c r="Y28" s="45">
        <v>-7.0583630999999993</v>
      </c>
      <c r="Z28" s="45">
        <v>-7.2230401099999986</v>
      </c>
      <c r="AA28" s="45">
        <v>-7.0517470699999993</v>
      </c>
      <c r="AB28" s="45">
        <f>+-10.4942574-AB80</f>
        <v>-9.1196006500000006</v>
      </c>
      <c r="AC28" s="45">
        <f>+-5.57047109-AC80</f>
        <v>-5.0442705099999996</v>
      </c>
      <c r="AD28" s="45">
        <v>-5.9828553699999993</v>
      </c>
      <c r="AE28" s="45">
        <v>-3.9182373899999976</v>
      </c>
      <c r="AF28" s="45">
        <v>-6.08522447</v>
      </c>
      <c r="AG28" s="45">
        <f>+-6.03616536-AG80</f>
        <v>-5.4533290799999996</v>
      </c>
      <c r="AH28" s="45">
        <f>+-4.98063144-AH80</f>
        <v>-5.0656664600000001</v>
      </c>
      <c r="AI28" s="45">
        <f>+-5.29200337-AI80</f>
        <v>-4.7672706599999994</v>
      </c>
      <c r="AJ28" s="45">
        <f>+-8.86662309606035-AJ80</f>
        <v>-8.1298155560603504</v>
      </c>
      <c r="AK28" s="54"/>
    </row>
    <row r="29" spans="2:37" x14ac:dyDescent="0.3">
      <c r="B29" s="5" t="s">
        <v>66</v>
      </c>
      <c r="C29" s="45">
        <v>-48.493732830000027</v>
      </c>
      <c r="D29" s="45">
        <v>-48.493121599999967</v>
      </c>
      <c r="E29" s="36">
        <f t="shared" si="0"/>
        <v>-1.2604309142405512E-5</v>
      </c>
      <c r="H29" s="5" t="s">
        <v>66</v>
      </c>
      <c r="I29" s="45">
        <v>-41.951805570000005</v>
      </c>
      <c r="J29" s="45">
        <v>-46.185509760000002</v>
      </c>
      <c r="K29" s="45">
        <v>-46.341475529999997</v>
      </c>
      <c r="L29" s="45">
        <v>-47.895657579999998</v>
      </c>
      <c r="M29" s="45">
        <v>-47.45246057</v>
      </c>
      <c r="N29" s="45">
        <v>-48.384940369999995</v>
      </c>
      <c r="O29" s="45">
        <v>-48.861872340000005</v>
      </c>
      <c r="P29" s="45">
        <v>-49</v>
      </c>
      <c r="Q29" s="45">
        <v>-47.859028649999999</v>
      </c>
      <c r="R29" s="45">
        <v>-47.103709719999998</v>
      </c>
      <c r="S29" s="45">
        <v>-49.023684110000005</v>
      </c>
      <c r="T29" s="45">
        <v>-52.043309690000001</v>
      </c>
      <c r="U29" s="45">
        <v>-51.537491310000007</v>
      </c>
      <c r="V29" s="45">
        <v>-52.338320930000002</v>
      </c>
      <c r="W29" s="45">
        <v>-51.70911498000001</v>
      </c>
      <c r="X29" s="45">
        <v>-35.670721700000001</v>
      </c>
      <c r="Y29" s="45">
        <v>-50.468340229999995</v>
      </c>
      <c r="Z29" s="45">
        <v>-50.577710360000012</v>
      </c>
      <c r="AA29" s="45">
        <v>-51.21465688</v>
      </c>
      <c r="AB29" s="45">
        <f>+-60.0190398-AB81</f>
        <v>-51.431602030000001</v>
      </c>
      <c r="AC29" s="45">
        <f>+-62.31854023-AC81</f>
        <v>-51.456948539999999</v>
      </c>
      <c r="AD29" s="45">
        <v>-52.281024099999996</v>
      </c>
      <c r="AE29" s="45">
        <v>-52.09153554000001</v>
      </c>
      <c r="AF29" s="45">
        <v>-48.783084410000029</v>
      </c>
      <c r="AG29" s="45">
        <f>+-60.57309273-AG81</f>
        <v>-49.354015410000002</v>
      </c>
      <c r="AH29" s="45">
        <f>+-60.98348462-AH81</f>
        <v>-49.504984109999995</v>
      </c>
      <c r="AI29" s="45">
        <f>+-62.10269554-AI81</f>
        <v>-49.919730049999998</v>
      </c>
      <c r="AJ29" s="45">
        <f>+-62.95540184-AJ81</f>
        <v>-51.263780879999999</v>
      </c>
      <c r="AK29" s="54"/>
    </row>
    <row r="30" spans="2:37" x14ac:dyDescent="0.3">
      <c r="C30" s="33"/>
      <c r="D30" s="33"/>
      <c r="E30" s="41"/>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54"/>
    </row>
    <row r="31" spans="2:37" x14ac:dyDescent="0.3">
      <c r="B31" s="2" t="s">
        <v>92</v>
      </c>
      <c r="C31" s="9">
        <f t="shared" ref="C31:D31" si="6">C25+C27+C28+C29</f>
        <v>98.265208229152336</v>
      </c>
      <c r="D31" s="9">
        <f t="shared" si="6"/>
        <v>103.52796536786812</v>
      </c>
      <c r="E31" s="38">
        <f t="shared" si="0"/>
        <v>5.3556668057357149E-2</v>
      </c>
      <c r="H31" s="2" t="s">
        <v>92</v>
      </c>
      <c r="I31" s="9">
        <f t="shared" ref="I31:AE31" si="7">I25+I27+I28+I29</f>
        <v>77.800892900000022</v>
      </c>
      <c r="J31" s="9">
        <f t="shared" si="7"/>
        <v>94.644525479999999</v>
      </c>
      <c r="K31" s="9">
        <f t="shared" si="7"/>
        <v>70.629866509999971</v>
      </c>
      <c r="L31" s="9">
        <f t="shared" si="7"/>
        <v>111.10687665999998</v>
      </c>
      <c r="M31" s="9">
        <f t="shared" si="7"/>
        <v>45.325441340000026</v>
      </c>
      <c r="N31" s="9">
        <f t="shared" si="7"/>
        <v>87.98138193000004</v>
      </c>
      <c r="O31" s="9">
        <f t="shared" si="7"/>
        <v>132.02826607999998</v>
      </c>
      <c r="P31" s="9">
        <f t="shared" si="7"/>
        <v>123.1</v>
      </c>
      <c r="Q31" s="9">
        <f t="shared" si="7"/>
        <v>105.64681671</v>
      </c>
      <c r="R31" s="9">
        <f t="shared" si="7"/>
        <v>94.886658069999967</v>
      </c>
      <c r="S31" s="9">
        <f t="shared" si="7"/>
        <v>57.428472359999958</v>
      </c>
      <c r="T31" s="9">
        <f t="shared" si="7"/>
        <v>91.720371839999956</v>
      </c>
      <c r="U31" s="9">
        <f t="shared" si="7"/>
        <v>91.850211179999945</v>
      </c>
      <c r="V31" s="9">
        <f t="shared" si="7"/>
        <v>95.226815070000015</v>
      </c>
      <c r="W31" s="9">
        <f t="shared" si="7"/>
        <v>108.84562639999996</v>
      </c>
      <c r="X31" s="9">
        <f t="shared" si="7"/>
        <v>151.36591756000004</v>
      </c>
      <c r="Y31" s="9">
        <f t="shared" si="7"/>
        <v>103.18760492000004</v>
      </c>
      <c r="Z31" s="9">
        <f t="shared" si="7"/>
        <v>91.101717910000062</v>
      </c>
      <c r="AA31" s="9">
        <f t="shared" si="7"/>
        <v>97.767246650000033</v>
      </c>
      <c r="AB31" s="9">
        <f t="shared" si="7"/>
        <v>152.02939168000003</v>
      </c>
      <c r="AC31" s="9">
        <f t="shared" si="7"/>
        <v>97.442282880000036</v>
      </c>
      <c r="AD31" s="9">
        <f t="shared" si="7"/>
        <v>103.01522548000003</v>
      </c>
      <c r="AE31" s="9">
        <f t="shared" si="7"/>
        <v>110.64255732000005</v>
      </c>
      <c r="AF31" s="9">
        <f>AF25+AF27+AF28+AF29</f>
        <v>115.16226758131363</v>
      </c>
      <c r="AG31" s="9">
        <f t="shared" ref="AG31:AJ31" si="8">AG25+AG27+AG28+AG29</f>
        <v>103.33664086000003</v>
      </c>
      <c r="AH31" s="9">
        <f t="shared" si="8"/>
        <v>92.232737150000005</v>
      </c>
      <c r="AI31" s="9">
        <f t="shared" si="8"/>
        <v>109.40993016999997</v>
      </c>
      <c r="AJ31" s="9">
        <f t="shared" si="8"/>
        <v>112.40512253786805</v>
      </c>
      <c r="AK31" s="54"/>
    </row>
    <row r="32" spans="2:37" x14ac:dyDescent="0.3">
      <c r="B32" s="42"/>
      <c r="C32" s="43"/>
      <c r="D32" s="43"/>
      <c r="E32" s="44"/>
      <c r="H32" s="42"/>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54"/>
    </row>
    <row r="33" spans="1:37" x14ac:dyDescent="0.3">
      <c r="B33" s="2" t="s">
        <v>68</v>
      </c>
      <c r="C33" s="9">
        <f t="shared" ref="C33" si="9">C31-C29</f>
        <v>146.75894105915236</v>
      </c>
      <c r="D33" s="9">
        <f>D31-D29</f>
        <v>152.02108696786809</v>
      </c>
      <c r="E33" s="38">
        <f t="shared" si="0"/>
        <v>3.5855709170010908E-2</v>
      </c>
      <c r="F33" s="92"/>
      <c r="H33" s="2" t="s">
        <v>68</v>
      </c>
      <c r="I33" s="9">
        <f t="shared" ref="I33:AE33" si="10">I31-I29</f>
        <v>119.75269847000003</v>
      </c>
      <c r="J33" s="9">
        <f t="shared" si="10"/>
        <v>140.83003524</v>
      </c>
      <c r="K33" s="9">
        <f t="shared" si="10"/>
        <v>116.97134203999997</v>
      </c>
      <c r="L33" s="9">
        <f t="shared" si="10"/>
        <v>159.00253423999999</v>
      </c>
      <c r="M33" s="9">
        <f t="shared" si="10"/>
        <v>92.777901910000026</v>
      </c>
      <c r="N33" s="9">
        <f t="shared" si="10"/>
        <v>136.36632230000004</v>
      </c>
      <c r="O33" s="9">
        <f t="shared" si="10"/>
        <v>180.89013841999997</v>
      </c>
      <c r="P33" s="9">
        <f t="shared" si="10"/>
        <v>172.1</v>
      </c>
      <c r="Q33" s="9">
        <f t="shared" si="10"/>
        <v>153.50584536</v>
      </c>
      <c r="R33" s="9">
        <f t="shared" si="10"/>
        <v>141.99036778999996</v>
      </c>
      <c r="S33" s="9">
        <f t="shared" si="10"/>
        <v>106.45215646999996</v>
      </c>
      <c r="T33" s="9">
        <f t="shared" si="10"/>
        <v>143.76368152999996</v>
      </c>
      <c r="U33" s="9">
        <f t="shared" si="10"/>
        <v>143.38770248999995</v>
      </c>
      <c r="V33" s="9">
        <f t="shared" si="10"/>
        <v>147.56513600000002</v>
      </c>
      <c r="W33" s="9">
        <f t="shared" si="10"/>
        <v>160.55474137999997</v>
      </c>
      <c r="X33" s="9">
        <f t="shared" si="10"/>
        <v>187.03663926000004</v>
      </c>
      <c r="Y33" s="9">
        <f t="shared" si="10"/>
        <v>153.65594515000004</v>
      </c>
      <c r="Z33" s="9">
        <f t="shared" si="10"/>
        <v>141.67942827000007</v>
      </c>
      <c r="AA33" s="9">
        <f t="shared" si="10"/>
        <v>148.98190353000004</v>
      </c>
      <c r="AB33" s="9">
        <f t="shared" si="10"/>
        <v>203.46099371000003</v>
      </c>
      <c r="AC33" s="9">
        <f t="shared" si="10"/>
        <v>148.89923142000004</v>
      </c>
      <c r="AD33" s="9">
        <f t="shared" si="10"/>
        <v>155.29624958000002</v>
      </c>
      <c r="AE33" s="9">
        <f t="shared" si="10"/>
        <v>162.73409286000006</v>
      </c>
      <c r="AF33" s="9">
        <f>AF31-AF29</f>
        <v>163.94535199131366</v>
      </c>
      <c r="AG33" s="9">
        <f>172.34723633-AG85</f>
        <v>152.69065626999998</v>
      </c>
      <c r="AH33" s="9">
        <f>155.26443032-AH85</f>
        <v>141.73772126</v>
      </c>
      <c r="AI33" s="9">
        <f>174.98602269-AI85</f>
        <v>159.32966021999999</v>
      </c>
      <c r="AJ33" s="9">
        <f>AJ31-AJ29</f>
        <v>163.66890341786805</v>
      </c>
      <c r="AK33" s="54"/>
    </row>
    <row r="35" spans="1:37" ht="23.25" x14ac:dyDescent="0.35">
      <c r="B35" s="12" t="s">
        <v>93</v>
      </c>
      <c r="C35" s="13"/>
      <c r="D35" s="13"/>
      <c r="E35" s="13"/>
    </row>
    <row r="37" spans="1:37" x14ac:dyDescent="0.3">
      <c r="A37" s="1">
        <v>1</v>
      </c>
      <c r="B37" s="3" t="s">
        <v>84</v>
      </c>
      <c r="C37" s="94" t="s">
        <v>3</v>
      </c>
      <c r="D37" s="94" t="s">
        <v>141</v>
      </c>
      <c r="E37" s="94" t="s">
        <v>83</v>
      </c>
    </row>
    <row r="38" spans="1:37" x14ac:dyDescent="0.3">
      <c r="A38" s="1">
        <v>2</v>
      </c>
      <c r="B38" s="3" t="s">
        <v>52</v>
      </c>
      <c r="C38" s="94"/>
      <c r="D38" s="94"/>
      <c r="E38" s="94"/>
    </row>
    <row r="39" spans="1:37" ht="6.75" customHeight="1" x14ac:dyDescent="0.3">
      <c r="A39" s="1">
        <v>3</v>
      </c>
    </row>
    <row r="40" spans="1:37" x14ac:dyDescent="0.3">
      <c r="A40" s="1">
        <v>4</v>
      </c>
      <c r="B40" s="2" t="s">
        <v>84</v>
      </c>
      <c r="C40" s="9">
        <f>SUM(C41:C42)</f>
        <v>20.239404850000003</v>
      </c>
      <c r="D40" s="9">
        <f>SUM(D41:D42)</f>
        <v>14.788093719999999</v>
      </c>
      <c r="E40" s="38">
        <f t="shared" ref="E40:E55" si="11">D40/C40-1</f>
        <v>-0.26934147374397732</v>
      </c>
    </row>
    <row r="41" spans="1:37" x14ac:dyDescent="0.3">
      <c r="A41" s="1">
        <v>8</v>
      </c>
      <c r="B41" s="5" t="s">
        <v>57</v>
      </c>
      <c r="C41" s="7">
        <v>20.239404850000003</v>
      </c>
      <c r="D41" s="7">
        <v>14.788093719999999</v>
      </c>
      <c r="E41" s="36">
        <f t="shared" si="11"/>
        <v>-0.26934147374397732</v>
      </c>
    </row>
    <row r="42" spans="1:37" x14ac:dyDescent="0.3">
      <c r="A42" s="1">
        <v>9</v>
      </c>
      <c r="B42" s="5" t="s">
        <v>55</v>
      </c>
      <c r="C42" s="87" t="s">
        <v>44</v>
      </c>
      <c r="D42" s="88" t="s">
        <v>44</v>
      </c>
      <c r="E42" s="50" t="s">
        <v>44</v>
      </c>
    </row>
    <row r="43" spans="1:37" ht="5.25" customHeight="1" x14ac:dyDescent="0.3">
      <c r="A43" s="1">
        <v>10</v>
      </c>
      <c r="C43" s="33"/>
      <c r="D43" s="33"/>
      <c r="E43" s="41"/>
    </row>
    <row r="44" spans="1:37" x14ac:dyDescent="0.3">
      <c r="A44" s="1">
        <v>11</v>
      </c>
      <c r="B44" s="2" t="s">
        <v>88</v>
      </c>
      <c r="C44" s="9">
        <f>SUM(C45:C46)</f>
        <v>-2.6866048</v>
      </c>
      <c r="D44" s="9">
        <f>SUM(D45:D46)</f>
        <v>-2.7441981700000007</v>
      </c>
      <c r="E44" s="38">
        <f t="shared" si="11"/>
        <v>2.1437231854867678E-2</v>
      </c>
    </row>
    <row r="45" spans="1:37" x14ac:dyDescent="0.3">
      <c r="A45" s="1">
        <v>12</v>
      </c>
      <c r="B45" s="5" t="s">
        <v>57</v>
      </c>
      <c r="C45" s="45">
        <v>-0.23451227000000019</v>
      </c>
      <c r="D45" s="45">
        <v>-0.37447780999999991</v>
      </c>
      <c r="E45" s="50">
        <v>-0.37447780999999991</v>
      </c>
    </row>
    <row r="46" spans="1:37" x14ac:dyDescent="0.3">
      <c r="A46" s="1">
        <v>17</v>
      </c>
      <c r="B46" s="5" t="s">
        <v>89</v>
      </c>
      <c r="C46" s="45">
        <v>-2.4520925299999998</v>
      </c>
      <c r="D46" s="45">
        <v>-2.3697203600000005</v>
      </c>
      <c r="E46" s="36">
        <f t="shared" si="11"/>
        <v>-3.3592602641303815E-2</v>
      </c>
    </row>
    <row r="47" spans="1:37" ht="5.25" customHeight="1" x14ac:dyDescent="0.3">
      <c r="A47" s="1">
        <v>18</v>
      </c>
      <c r="C47" s="33"/>
      <c r="D47" s="33"/>
      <c r="E47" s="41"/>
    </row>
    <row r="48" spans="1:37" x14ac:dyDescent="0.3">
      <c r="A48" s="1">
        <v>19</v>
      </c>
      <c r="B48" s="2" t="s">
        <v>90</v>
      </c>
      <c r="C48" s="9">
        <f>C44+C40</f>
        <v>17.552800050000002</v>
      </c>
      <c r="D48" s="9">
        <f>D44+D40</f>
        <v>12.043895549999998</v>
      </c>
      <c r="E48" s="38">
        <f t="shared" si="11"/>
        <v>-0.31384761885896395</v>
      </c>
    </row>
    <row r="49" spans="1:36" ht="5.25" customHeight="1" x14ac:dyDescent="0.3">
      <c r="A49" s="1">
        <v>20</v>
      </c>
      <c r="C49" s="33"/>
      <c r="D49" s="33"/>
      <c r="E49" s="41"/>
    </row>
    <row r="50" spans="1:36" x14ac:dyDescent="0.3">
      <c r="A50" s="1">
        <v>22</v>
      </c>
      <c r="B50" s="5" t="s">
        <v>91</v>
      </c>
      <c r="C50" s="45">
        <v>-0.41759463000000002</v>
      </c>
      <c r="D50" s="45">
        <v>-0.39642189000000005</v>
      </c>
      <c r="E50" s="36">
        <f t="shared" si="11"/>
        <v>-5.0701657729650296E-2</v>
      </c>
    </row>
    <row r="51" spans="1:36" x14ac:dyDescent="0.3">
      <c r="A51" s="1">
        <v>23</v>
      </c>
      <c r="B51" s="5" t="s">
        <v>66</v>
      </c>
      <c r="C51" s="45">
        <v>-0.28935157999999994</v>
      </c>
      <c r="D51" s="45">
        <v>-2.7706592800000003</v>
      </c>
      <c r="E51" s="36">
        <f t="shared" si="11"/>
        <v>8.5754074679668264</v>
      </c>
    </row>
    <row r="52" spans="1:36" ht="5.25" customHeight="1" x14ac:dyDescent="0.3">
      <c r="A52" s="1">
        <v>24</v>
      </c>
      <c r="C52" s="33"/>
      <c r="D52" s="33"/>
      <c r="E52" s="41"/>
    </row>
    <row r="53" spans="1:36" x14ac:dyDescent="0.3">
      <c r="A53" s="1">
        <v>25</v>
      </c>
      <c r="B53" s="2" t="s">
        <v>92</v>
      </c>
      <c r="C53" s="9">
        <f>C48+C50+C51</f>
        <v>16.845853840000004</v>
      </c>
      <c r="D53" s="9">
        <f>D48++D50+D51</f>
        <v>8.876814379999999</v>
      </c>
      <c r="E53" s="38">
        <f t="shared" si="11"/>
        <v>-0.47305642894026223</v>
      </c>
    </row>
    <row r="54" spans="1:36" ht="5.25" customHeight="1" x14ac:dyDescent="0.3">
      <c r="A54" s="1">
        <v>26</v>
      </c>
      <c r="B54" s="42"/>
      <c r="C54" s="43"/>
      <c r="D54" s="43"/>
      <c r="E54" s="44"/>
    </row>
    <row r="55" spans="1:36" x14ac:dyDescent="0.3">
      <c r="A55" s="1">
        <v>27</v>
      </c>
      <c r="B55" s="2" t="s">
        <v>68</v>
      </c>
      <c r="C55" s="9">
        <f t="shared" ref="C55:D55" si="12">C53-C51</f>
        <v>17.135205420000005</v>
      </c>
      <c r="D55" s="9">
        <f t="shared" si="12"/>
        <v>11.647473659999999</v>
      </c>
      <c r="E55" s="38">
        <f t="shared" si="11"/>
        <v>-0.32026063449433717</v>
      </c>
    </row>
    <row r="56" spans="1:36" ht="28.5" customHeight="1" x14ac:dyDescent="0.3"/>
    <row r="57" spans="1:36" ht="28.5" customHeight="1" x14ac:dyDescent="0.3"/>
    <row r="58" spans="1:36" ht="23.25" x14ac:dyDescent="0.35">
      <c r="B58" s="12" t="s">
        <v>46</v>
      </c>
      <c r="C58" s="13"/>
      <c r="D58" s="13"/>
      <c r="E58" s="13"/>
      <c r="H58" s="12" t="s">
        <v>46</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row>
    <row r="59" spans="1:36" ht="9" customHeight="1" x14ac:dyDescent="0.3"/>
    <row r="60" spans="1:36" x14ac:dyDescent="0.3">
      <c r="A60" s="1">
        <v>1</v>
      </c>
      <c r="B60" s="3" t="s">
        <v>84</v>
      </c>
      <c r="C60" s="94" t="s">
        <v>142</v>
      </c>
      <c r="D60" s="94" t="s">
        <v>141</v>
      </c>
      <c r="E60" s="94" t="s">
        <v>83</v>
      </c>
      <c r="H60" s="3" t="s">
        <v>82</v>
      </c>
      <c r="I60" s="94" t="s">
        <v>6</v>
      </c>
      <c r="J60" s="94" t="s">
        <v>7</v>
      </c>
      <c r="K60" s="94" t="s">
        <v>8</v>
      </c>
      <c r="L60" s="94" t="s">
        <v>9</v>
      </c>
      <c r="M60" s="94" t="s">
        <v>10</v>
      </c>
      <c r="N60" s="94" t="s">
        <v>11</v>
      </c>
      <c r="O60" s="94" t="s">
        <v>12</v>
      </c>
      <c r="P60" s="94" t="s">
        <v>13</v>
      </c>
      <c r="Q60" s="94" t="s">
        <v>14</v>
      </c>
      <c r="R60" s="94" t="s">
        <v>15</v>
      </c>
      <c r="S60" s="94" t="s">
        <v>16</v>
      </c>
      <c r="T60" s="94" t="s">
        <v>17</v>
      </c>
      <c r="U60" s="94" t="s">
        <v>18</v>
      </c>
      <c r="V60" s="94" t="s">
        <v>19</v>
      </c>
      <c r="W60" s="94" t="s">
        <v>20</v>
      </c>
      <c r="X60" s="94" t="s">
        <v>21</v>
      </c>
      <c r="Y60" s="94" t="s">
        <v>22</v>
      </c>
      <c r="Z60" s="94" t="s">
        <v>23</v>
      </c>
      <c r="AA60" s="94" t="s">
        <v>24</v>
      </c>
      <c r="AB60" s="94" t="s">
        <v>2</v>
      </c>
      <c r="AC60" s="94" t="s">
        <v>25</v>
      </c>
      <c r="AD60" s="94" t="s">
        <v>51</v>
      </c>
      <c r="AE60" s="94" t="s">
        <v>94</v>
      </c>
      <c r="AF60" s="94" t="s">
        <v>142</v>
      </c>
      <c r="AG60" s="94" t="s">
        <v>128</v>
      </c>
      <c r="AH60" s="94" t="s">
        <v>130</v>
      </c>
      <c r="AI60" s="94" t="s">
        <v>139</v>
      </c>
      <c r="AJ60" s="94" t="s">
        <v>141</v>
      </c>
    </row>
    <row r="61" spans="1:36" x14ac:dyDescent="0.3">
      <c r="A61" s="1">
        <v>2</v>
      </c>
      <c r="B61" s="3" t="s">
        <v>52</v>
      </c>
      <c r="C61" s="94" t="s">
        <v>25</v>
      </c>
      <c r="D61" s="94" t="s">
        <v>25</v>
      </c>
      <c r="E61" s="94"/>
      <c r="H61" s="3" t="s">
        <v>52</v>
      </c>
      <c r="I61" s="94"/>
      <c r="J61" s="94"/>
      <c r="K61" s="94"/>
      <c r="L61" s="94"/>
      <c r="M61" s="94"/>
      <c r="N61" s="94"/>
      <c r="O61" s="94"/>
      <c r="P61" s="94"/>
      <c r="Q61" s="94"/>
      <c r="R61" s="94"/>
      <c r="S61" s="94"/>
      <c r="T61" s="94"/>
      <c r="U61" s="94"/>
      <c r="V61" s="94"/>
      <c r="W61" s="94"/>
      <c r="X61" s="94"/>
      <c r="Y61" s="94"/>
      <c r="Z61" s="94"/>
      <c r="AA61" s="94"/>
      <c r="AB61" s="94"/>
      <c r="AC61" s="94" t="s">
        <v>25</v>
      </c>
      <c r="AD61" s="94" t="s">
        <v>25</v>
      </c>
      <c r="AE61" s="94" t="s">
        <v>25</v>
      </c>
      <c r="AF61" s="94" t="s">
        <v>25</v>
      </c>
      <c r="AG61" s="94"/>
      <c r="AH61" s="94"/>
      <c r="AI61" s="94"/>
      <c r="AJ61" s="94" t="s">
        <v>25</v>
      </c>
    </row>
    <row r="62" spans="1:36" ht="6.75" customHeight="1" x14ac:dyDescent="0.3">
      <c r="A62" s="1">
        <v>3</v>
      </c>
    </row>
    <row r="63" spans="1:36" x14ac:dyDescent="0.3">
      <c r="A63" s="1">
        <v>4</v>
      </c>
      <c r="B63" s="2" t="s">
        <v>84</v>
      </c>
      <c r="C63" s="9">
        <f t="shared" ref="C63:C85" si="13">+HLOOKUP($C$60,$H$60:$AL$85,A63,FALSE)</f>
        <v>47.314848999999995</v>
      </c>
      <c r="D63" s="9">
        <f t="shared" ref="D63:D85" si="14">+HLOOKUP($D$60,$H$60:$AL$85,A63,FALSE)</f>
        <v>44.078781450000001</v>
      </c>
      <c r="E63" s="38">
        <f>D63/C63-1</f>
        <v>-6.8394333246207695E-2</v>
      </c>
      <c r="H63" s="2" t="s">
        <v>84</v>
      </c>
      <c r="I63" s="32"/>
      <c r="J63" s="32"/>
      <c r="K63" s="32"/>
      <c r="L63" s="32"/>
      <c r="M63" s="32"/>
      <c r="N63" s="32"/>
      <c r="O63" s="32"/>
      <c r="P63" s="32"/>
      <c r="Q63" s="9">
        <f t="shared" ref="Q63:X63" si="15">SUM(Q64:Q68)</f>
        <v>55.583655499999999</v>
      </c>
      <c r="R63" s="9">
        <f t="shared" si="15"/>
        <v>54.9629184</v>
      </c>
      <c r="S63" s="9">
        <f t="shared" si="15"/>
        <v>49.082694860000004</v>
      </c>
      <c r="T63" s="9">
        <f t="shared" si="15"/>
        <v>57.097280980000001</v>
      </c>
      <c r="U63" s="9">
        <f t="shared" si="15"/>
        <v>47.636293819999999</v>
      </c>
      <c r="V63" s="9">
        <f t="shared" si="15"/>
        <v>46.971507459999998</v>
      </c>
      <c r="W63" s="9">
        <f t="shared" si="15"/>
        <v>51.493997259999993</v>
      </c>
      <c r="X63" s="9">
        <f t="shared" si="15"/>
        <v>46.735641690000008</v>
      </c>
      <c r="Y63" s="9">
        <f t="shared" ref="Y63:AE63" si="16">SUM(Y64:Y68)</f>
        <v>52.673049919999997</v>
      </c>
      <c r="Z63" s="9">
        <f t="shared" si="16"/>
        <v>52.289317230000002</v>
      </c>
      <c r="AA63" s="9">
        <f t="shared" si="16"/>
        <v>40.085187489999996</v>
      </c>
      <c r="AB63" s="9">
        <f t="shared" si="16"/>
        <v>38.385628109999999</v>
      </c>
      <c r="AC63" s="9">
        <f t="shared" si="16"/>
        <v>41.960275469999999</v>
      </c>
      <c r="AD63" s="9">
        <f t="shared" si="16"/>
        <v>41.306034390000001</v>
      </c>
      <c r="AE63" s="9">
        <f t="shared" si="16"/>
        <v>44.203243349999994</v>
      </c>
      <c r="AF63" s="9">
        <f t="shared" ref="AF63:AJ63" si="17">SUM(AF64:AF68)</f>
        <v>47.314848999999995</v>
      </c>
      <c r="AG63" s="9">
        <f t="shared" si="17"/>
        <v>37.681899710000003</v>
      </c>
      <c r="AH63" s="9">
        <f t="shared" si="17"/>
        <v>34.790087870000001</v>
      </c>
      <c r="AI63" s="9">
        <f t="shared" si="17"/>
        <v>42.889557519999997</v>
      </c>
      <c r="AJ63" s="9">
        <f t="shared" si="17"/>
        <v>44.078781450000001</v>
      </c>
    </row>
    <row r="64" spans="1:36" x14ac:dyDescent="0.3">
      <c r="A64" s="1">
        <v>5</v>
      </c>
      <c r="B64" s="5" t="s">
        <v>85</v>
      </c>
      <c r="C64" s="7">
        <f t="shared" si="13"/>
        <v>28.902238430000001</v>
      </c>
      <c r="D64" s="7">
        <f>+HLOOKUP($D$60,$H$60:$AL$85,A64,FALSE)</f>
        <v>27.41628996</v>
      </c>
      <c r="E64" s="36">
        <f>D64/C64-1</f>
        <v>-5.1412919923102263E-2</v>
      </c>
      <c r="H64" s="5" t="s">
        <v>85</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c r="AJ64" s="7">
        <v>27.41628996</v>
      </c>
    </row>
    <row r="65" spans="1:36" x14ac:dyDescent="0.3">
      <c r="A65" s="1">
        <v>6</v>
      </c>
      <c r="B65" s="5" t="s">
        <v>86</v>
      </c>
      <c r="C65" s="7">
        <f t="shared" si="13"/>
        <v>8.1723705200000012</v>
      </c>
      <c r="D65" s="7">
        <f>+HLOOKUP($D$60,$H$60:$AL$85,A65,FALSE)</f>
        <v>6.0036959899999989</v>
      </c>
      <c r="E65" s="50">
        <f t="shared" ref="E65" si="18">D65/C65-1</f>
        <v>-0.26536664297007451</v>
      </c>
      <c r="H65" s="5" t="s">
        <v>86</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c r="AJ65" s="7">
        <v>6.0036959899999989</v>
      </c>
    </row>
    <row r="66" spans="1:36" x14ac:dyDescent="0.3">
      <c r="A66" s="1">
        <v>7</v>
      </c>
      <c r="B66" s="5" t="s">
        <v>87</v>
      </c>
      <c r="C66" s="7">
        <f t="shared" si="13"/>
        <v>3.0115666299999999</v>
      </c>
      <c r="D66" s="7">
        <f t="shared" si="14"/>
        <v>9.1388253099999996</v>
      </c>
      <c r="E66" s="36">
        <f t="shared" ref="E66:E68" si="19">D66/C66-1</f>
        <v>2.0345751672776373</v>
      </c>
      <c r="H66" s="5" t="s">
        <v>95</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c r="AJ66" s="7">
        <v>9.1388253099999996</v>
      </c>
    </row>
    <row r="67" spans="1:36" x14ac:dyDescent="0.3">
      <c r="A67" s="1">
        <v>8</v>
      </c>
      <c r="B67" s="5" t="s">
        <v>57</v>
      </c>
      <c r="C67" s="7">
        <f t="shared" si="13"/>
        <v>0</v>
      </c>
      <c r="D67" s="7">
        <f t="shared" si="14"/>
        <v>0</v>
      </c>
      <c r="E67" s="50" t="s">
        <v>44</v>
      </c>
      <c r="H67" s="5" t="s">
        <v>57</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5">
        <v>0</v>
      </c>
      <c r="AG67" s="75">
        <v>0</v>
      </c>
      <c r="AH67" s="75"/>
      <c r="AI67" s="75"/>
      <c r="AJ67" s="75"/>
    </row>
    <row r="68" spans="1:36" x14ac:dyDescent="0.3">
      <c r="A68" s="1">
        <v>9</v>
      </c>
      <c r="B68" s="5" t="s">
        <v>55</v>
      </c>
      <c r="C68" s="7">
        <f t="shared" si="13"/>
        <v>7.2286734200000007</v>
      </c>
      <c r="D68" s="7">
        <f t="shared" si="14"/>
        <v>1.51997019</v>
      </c>
      <c r="E68" s="36">
        <f t="shared" si="19"/>
        <v>-0.78973041086700524</v>
      </c>
      <c r="H68" s="5" t="s">
        <v>55</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c r="AJ68" s="7">
        <v>1.51997019</v>
      </c>
    </row>
    <row r="69" spans="1:36" ht="4.5" customHeight="1" x14ac:dyDescent="0.3">
      <c r="A69" s="1">
        <v>10</v>
      </c>
      <c r="C69" s="1">
        <f t="shared" si="13"/>
        <v>0</v>
      </c>
      <c r="D69" s="1">
        <f t="shared" si="14"/>
        <v>0</v>
      </c>
    </row>
    <row r="70" spans="1:36" x14ac:dyDescent="0.3">
      <c r="A70" s="1">
        <v>11</v>
      </c>
      <c r="B70" s="2" t="s">
        <v>88</v>
      </c>
      <c r="C70" s="9">
        <f t="shared" si="13"/>
        <v>-25.377440749999998</v>
      </c>
      <c r="D70" s="9">
        <f t="shared" si="14"/>
        <v>-25.542623639999995</v>
      </c>
      <c r="E70" s="38">
        <f>D70/C70-1</f>
        <v>6.5090444551623161E-3</v>
      </c>
      <c r="H70" s="2" t="s">
        <v>88</v>
      </c>
      <c r="I70" s="32"/>
      <c r="J70" s="32"/>
      <c r="K70" s="32"/>
      <c r="L70" s="32"/>
      <c r="M70" s="32"/>
      <c r="N70" s="32"/>
      <c r="O70" s="32"/>
      <c r="P70" s="32"/>
      <c r="Q70" s="9">
        <f t="shared" ref="Q70:X70" si="20">SUM(Q71:Q75)</f>
        <v>-32.306038980000004</v>
      </c>
      <c r="R70" s="9">
        <f t="shared" si="20"/>
        <v>-41.795531619999998</v>
      </c>
      <c r="S70" s="9">
        <f t="shared" si="20"/>
        <v>-30.759452379999999</v>
      </c>
      <c r="T70" s="9">
        <f t="shared" si="20"/>
        <v>-39.480105159999994</v>
      </c>
      <c r="U70" s="9">
        <f t="shared" si="20"/>
        <v>-34.353933659999996</v>
      </c>
      <c r="V70" s="9">
        <f t="shared" si="20"/>
        <v>-33.9733351</v>
      </c>
      <c r="W70" s="9">
        <f t="shared" si="20"/>
        <v>-35.661452799999999</v>
      </c>
      <c r="X70" s="9">
        <f t="shared" si="20"/>
        <v>-37.405603590000005</v>
      </c>
      <c r="Y70" s="9">
        <f t="shared" ref="Y70:AE70" si="21">SUM(Y71:Y75)</f>
        <v>-40.773118190000005</v>
      </c>
      <c r="Z70" s="9">
        <f t="shared" si="21"/>
        <v>-37.811925799999997</v>
      </c>
      <c r="AA70" s="9">
        <f t="shared" si="21"/>
        <v>-30.209554599999997</v>
      </c>
      <c r="AB70" s="9">
        <f>+SUM(AB71:AB75)</f>
        <v>-28.78228824</v>
      </c>
      <c r="AC70" s="9">
        <f t="shared" si="21"/>
        <v>-23.492882950000002</v>
      </c>
      <c r="AD70" s="9">
        <f t="shared" si="21"/>
        <v>-20.57628506</v>
      </c>
      <c r="AE70" s="9">
        <f t="shared" si="21"/>
        <v>-26.275369099999999</v>
      </c>
      <c r="AF70" s="9">
        <f>SUM(AF71:AF75)</f>
        <v>-25.377440749999998</v>
      </c>
      <c r="AG70" s="9">
        <f>SUM(AG71:AG75)</f>
        <v>-15.966702250000001</v>
      </c>
      <c r="AH70" s="9">
        <f>SUM(AH71:AH75)</f>
        <v>-19.82229126</v>
      </c>
      <c r="AI70" s="9">
        <f>SUM(AI71:AI75)</f>
        <v>-25.174800519999998</v>
      </c>
      <c r="AJ70" s="9">
        <f>SUM(AJ71:AJ75)</f>
        <v>-25.542623639999995</v>
      </c>
    </row>
    <row r="71" spans="1:36" x14ac:dyDescent="0.3">
      <c r="A71" s="1">
        <v>12</v>
      </c>
      <c r="B71" s="5" t="s">
        <v>57</v>
      </c>
      <c r="C71" s="45">
        <f t="shared" si="13"/>
        <v>-0.91939967999999994</v>
      </c>
      <c r="D71" s="45">
        <f t="shared" si="14"/>
        <v>-1.1551104400000001</v>
      </c>
      <c r="E71" s="36">
        <f t="shared" ref="E71:E75" si="22">D71/C71-1</f>
        <v>0.2563746378506464</v>
      </c>
      <c r="H71" s="5" t="s">
        <v>57</v>
      </c>
      <c r="I71" s="7"/>
      <c r="J71" s="7"/>
      <c r="K71" s="7"/>
      <c r="L71" s="7"/>
      <c r="M71" s="7"/>
      <c r="N71" s="7"/>
      <c r="O71" s="7"/>
      <c r="P71" s="7"/>
      <c r="Q71" s="45">
        <v>-8.6869376099999993</v>
      </c>
      <c r="R71" s="45">
        <v>-10.98468411</v>
      </c>
      <c r="S71" s="45">
        <v>-7.5221053799999993</v>
      </c>
      <c r="T71" s="45">
        <v>-8.4976941799999999</v>
      </c>
      <c r="U71" s="45">
        <v>-8.7930702800000002</v>
      </c>
      <c r="V71" s="45">
        <v>-8.4213767199999996</v>
      </c>
      <c r="W71" s="45">
        <v>-9.6291035800000007</v>
      </c>
      <c r="X71" s="45">
        <v>-10.23718113</v>
      </c>
      <c r="Y71" s="45">
        <v>-10.758186589999999</v>
      </c>
      <c r="Z71" s="45">
        <v>-10.957769000000001</v>
      </c>
      <c r="AA71" s="45">
        <v>-0.66157777000000095</v>
      </c>
      <c r="AB71" s="45"/>
      <c r="AC71" s="45">
        <v>-0.49616329999999997</v>
      </c>
      <c r="AD71" s="45">
        <v>-0.73033623999999997</v>
      </c>
      <c r="AE71" s="45">
        <v>-1.3071812600000001</v>
      </c>
      <c r="AF71" s="45">
        <v>-0.91939967999999994</v>
      </c>
      <c r="AG71" s="45">
        <v>-0.71923826999999996</v>
      </c>
      <c r="AH71" s="45">
        <v>-2.2193861799999999</v>
      </c>
      <c r="AI71" s="45">
        <v>-1.2449280699999998</v>
      </c>
      <c r="AJ71" s="45">
        <v>-1.1551104400000001</v>
      </c>
    </row>
    <row r="72" spans="1:36" x14ac:dyDescent="0.3">
      <c r="A72" s="1">
        <v>13</v>
      </c>
      <c r="B72" s="5" t="s">
        <v>58</v>
      </c>
      <c r="C72" s="45">
        <f t="shared" si="13"/>
        <v>-0.34991742999999997</v>
      </c>
      <c r="D72" s="45">
        <f t="shared" si="14"/>
        <v>-1.2861E-4</v>
      </c>
      <c r="E72" s="50" t="s">
        <v>44</v>
      </c>
      <c r="H72" s="5" t="s">
        <v>58</v>
      </c>
      <c r="I72" s="7"/>
      <c r="J72" s="7"/>
      <c r="K72" s="7"/>
      <c r="L72" s="7"/>
      <c r="M72" s="7"/>
      <c r="N72" s="7"/>
      <c r="O72" s="7"/>
      <c r="P72" s="7"/>
      <c r="Q72" s="45">
        <v>-2.4822059000000003</v>
      </c>
      <c r="R72" s="45">
        <v>-8.7254282500000002</v>
      </c>
      <c r="S72" s="45">
        <v>-3.1551651900000004</v>
      </c>
      <c r="T72" s="45">
        <v>-1.36595606</v>
      </c>
      <c r="U72" s="45">
        <v>-2.8579380299999997</v>
      </c>
      <c r="V72" s="45">
        <v>-1.42054E-2</v>
      </c>
      <c r="W72" s="45">
        <v>-0.14726351999999998</v>
      </c>
      <c r="X72" s="45">
        <v>-1.8561880000000003E-2</v>
      </c>
      <c r="Y72" s="45">
        <v>-6.3891180600000004</v>
      </c>
      <c r="Z72" s="45">
        <v>-1.296899E-2</v>
      </c>
      <c r="AA72" s="45">
        <v>-0.13729293999999997</v>
      </c>
      <c r="AB72" s="45">
        <v>-3.7507E-3</v>
      </c>
      <c r="AC72" s="45">
        <v>-0.27191003000000002</v>
      </c>
      <c r="AD72" s="45">
        <v>-0.36717951000000004</v>
      </c>
      <c r="AE72" s="45">
        <v>0</v>
      </c>
      <c r="AF72" s="45">
        <v>-0.34991742999999997</v>
      </c>
      <c r="AG72" s="45">
        <v>-1.3345663000000001</v>
      </c>
      <c r="AH72" s="45">
        <v>-0.48811054999999998</v>
      </c>
      <c r="AI72" s="45">
        <v>-5.9718210000000001E-2</v>
      </c>
      <c r="AJ72" s="45">
        <v>-1.2861E-4</v>
      </c>
    </row>
    <row r="73" spans="1:36" x14ac:dyDescent="0.3">
      <c r="A73" s="1">
        <v>14</v>
      </c>
      <c r="B73" s="5" t="s">
        <v>59</v>
      </c>
      <c r="C73" s="45">
        <f t="shared" si="13"/>
        <v>-20.756213280000001</v>
      </c>
      <c r="D73" s="45">
        <f t="shared" si="14"/>
        <v>-19.569473139999999</v>
      </c>
      <c r="E73" s="36">
        <f t="shared" si="22"/>
        <v>-5.7175175644562537E-2</v>
      </c>
      <c r="H73" s="5" t="s">
        <v>59</v>
      </c>
      <c r="I73" s="7"/>
      <c r="J73" s="7"/>
      <c r="K73" s="7"/>
      <c r="L73" s="7"/>
      <c r="M73" s="7"/>
      <c r="N73" s="7"/>
      <c r="O73" s="7"/>
      <c r="P73" s="7"/>
      <c r="Q73" s="45">
        <v>-16.863124360000004</v>
      </c>
      <c r="R73" s="45">
        <v>-19.939320459999998</v>
      </c>
      <c r="S73" s="45">
        <v>-17.725214960000002</v>
      </c>
      <c r="T73" s="45">
        <v>-28.326226259999999</v>
      </c>
      <c r="U73" s="45">
        <v>-20.05521062</v>
      </c>
      <c r="V73" s="45">
        <v>-23.011494200000001</v>
      </c>
      <c r="W73" s="45">
        <v>-24.285353650000001</v>
      </c>
      <c r="X73" s="45">
        <v>-24.371911540000003</v>
      </c>
      <c r="Y73" s="45">
        <v>-18.965294759999999</v>
      </c>
      <c r="Z73" s="45">
        <v>-23.6114715</v>
      </c>
      <c r="AA73" s="45">
        <v>-24.548299199999999</v>
      </c>
      <c r="AB73" s="45">
        <v>-25.285733</v>
      </c>
      <c r="AC73" s="45">
        <v>-19.612186380000001</v>
      </c>
      <c r="AD73" s="45">
        <v>-16.17645731</v>
      </c>
      <c r="AE73" s="45">
        <v>-22.237171629999999</v>
      </c>
      <c r="AF73" s="45">
        <v>-20.756213280000001</v>
      </c>
      <c r="AG73" s="45">
        <v>-11.126012040000001</v>
      </c>
      <c r="AH73" s="45">
        <v>-14.580119980000001</v>
      </c>
      <c r="AI73" s="45">
        <v>-20.636345499999997</v>
      </c>
      <c r="AJ73" s="45">
        <v>-19.569473139999999</v>
      </c>
    </row>
    <row r="74" spans="1:36" x14ac:dyDescent="0.3">
      <c r="A74" s="1">
        <v>15</v>
      </c>
      <c r="B74" s="5" t="s">
        <v>60</v>
      </c>
      <c r="C74" s="45">
        <f t="shared" si="13"/>
        <v>0</v>
      </c>
      <c r="D74" s="45">
        <f t="shared" si="14"/>
        <v>-0.91938023999999996</v>
      </c>
      <c r="E74" s="50" t="s">
        <v>44</v>
      </c>
      <c r="H74" s="5" t="s">
        <v>60</v>
      </c>
      <c r="I74" s="7"/>
      <c r="J74" s="7"/>
      <c r="K74" s="7"/>
      <c r="L74" s="7"/>
      <c r="M74" s="7"/>
      <c r="N74" s="7"/>
      <c r="O74" s="7"/>
      <c r="P74" s="7"/>
      <c r="Q74" s="45"/>
      <c r="R74" s="45"/>
      <c r="S74" s="45"/>
      <c r="T74" s="45"/>
      <c r="U74" s="45"/>
      <c r="V74" s="45"/>
      <c r="W74" s="45"/>
      <c r="X74" s="45"/>
      <c r="Y74" s="45"/>
      <c r="Z74" s="45"/>
      <c r="AA74" s="45">
        <v>-1.3596464999999998</v>
      </c>
      <c r="AB74" s="45">
        <v>0</v>
      </c>
      <c r="AC74" s="45">
        <v>0</v>
      </c>
      <c r="AD74" s="45">
        <v>0</v>
      </c>
      <c r="AE74" s="45">
        <v>0</v>
      </c>
      <c r="AF74" s="45">
        <v>0</v>
      </c>
      <c r="AG74" s="45">
        <v>0</v>
      </c>
      <c r="AH74" s="45">
        <v>0</v>
      </c>
      <c r="AI74" s="45">
        <v>0</v>
      </c>
      <c r="AJ74" s="45">
        <v>-0.91938023999999996</v>
      </c>
    </row>
    <row r="75" spans="1:36" x14ac:dyDescent="0.3">
      <c r="A75" s="1">
        <v>16</v>
      </c>
      <c r="B75" s="5" t="s">
        <v>89</v>
      </c>
      <c r="C75" s="45">
        <f t="shared" si="13"/>
        <v>-3.3519103599999998</v>
      </c>
      <c r="D75" s="45">
        <f t="shared" si="14"/>
        <v>-3.8985312099999998</v>
      </c>
      <c r="E75" s="36">
        <f t="shared" si="22"/>
        <v>0.16307740699843776</v>
      </c>
      <c r="H75" s="5" t="s">
        <v>89</v>
      </c>
      <c r="I75" s="7"/>
      <c r="J75" s="7"/>
      <c r="K75" s="7"/>
      <c r="L75" s="7"/>
      <c r="M75" s="7"/>
      <c r="N75" s="7"/>
      <c r="O75" s="7"/>
      <c r="P75" s="7"/>
      <c r="Q75" s="45">
        <v>-4.2737711100000002</v>
      </c>
      <c r="R75" s="45">
        <v>-2.1460987999999999</v>
      </c>
      <c r="S75" s="45">
        <v>-2.3569668500000001</v>
      </c>
      <c r="T75" s="45">
        <v>-1.2902286600000001</v>
      </c>
      <c r="U75" s="45">
        <v>-2.6477147300000001</v>
      </c>
      <c r="V75" s="45">
        <v>-2.5262587800000005</v>
      </c>
      <c r="W75" s="45">
        <v>-1.5997320500000001</v>
      </c>
      <c r="X75" s="45">
        <v>-2.7779490399999998</v>
      </c>
      <c r="Y75" s="45">
        <v>-4.6605187800000003</v>
      </c>
      <c r="Z75" s="45">
        <v>-3.2297163100000006</v>
      </c>
      <c r="AA75" s="45">
        <v>-3.5027381900000001</v>
      </c>
      <c r="AB75" s="45">
        <v>-3.4928045399999998</v>
      </c>
      <c r="AC75" s="45">
        <v>-3.11262324</v>
      </c>
      <c r="AD75" s="45">
        <v>-3.3023120000000001</v>
      </c>
      <c r="AE75" s="45">
        <v>-2.7310162099999999</v>
      </c>
      <c r="AF75" s="45">
        <v>-3.3519103599999998</v>
      </c>
      <c r="AG75" s="45">
        <v>-2.7868856400000004</v>
      </c>
      <c r="AH75" s="45">
        <v>-2.5346745500000001</v>
      </c>
      <c r="AI75" s="45">
        <v>-3.2338087399999997</v>
      </c>
      <c r="AJ75" s="45">
        <v>-3.8985312099999998</v>
      </c>
    </row>
    <row r="76" spans="1:36" ht="4.5" customHeight="1" x14ac:dyDescent="0.3">
      <c r="A76" s="1">
        <v>17</v>
      </c>
      <c r="C76" s="33">
        <f t="shared" si="13"/>
        <v>0</v>
      </c>
      <c r="D76" s="33">
        <f t="shared" si="14"/>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x14ac:dyDescent="0.3">
      <c r="A77" s="1">
        <v>18</v>
      </c>
      <c r="B77" s="2" t="s">
        <v>90</v>
      </c>
      <c r="C77" s="9">
        <f t="shared" si="13"/>
        <v>21.937408249999997</v>
      </c>
      <c r="D77" s="9">
        <f t="shared" si="14"/>
        <v>18.536157810000006</v>
      </c>
      <c r="E77" s="38">
        <f>D77/C77-1</f>
        <v>-0.15504340354335122</v>
      </c>
      <c r="H77" s="2" t="s">
        <v>90</v>
      </c>
      <c r="I77" s="32"/>
      <c r="J77" s="32"/>
      <c r="K77" s="32"/>
      <c r="L77" s="32"/>
      <c r="M77" s="32"/>
      <c r="N77" s="32"/>
      <c r="O77" s="32"/>
      <c r="P77" s="32"/>
      <c r="Q77" s="9">
        <f t="shared" ref="Q77:X77" si="23">Q70+Q63</f>
        <v>23.277616519999995</v>
      </c>
      <c r="R77" s="9">
        <f t="shared" si="23"/>
        <v>13.167386780000001</v>
      </c>
      <c r="S77" s="9">
        <f t="shared" si="23"/>
        <v>18.323242480000005</v>
      </c>
      <c r="T77" s="9">
        <f t="shared" si="23"/>
        <v>17.617175820000007</v>
      </c>
      <c r="U77" s="9">
        <f t="shared" si="23"/>
        <v>13.282360160000003</v>
      </c>
      <c r="V77" s="9">
        <f t="shared" si="23"/>
        <v>12.998172359999998</v>
      </c>
      <c r="W77" s="9">
        <f t="shared" si="23"/>
        <v>15.832544459999994</v>
      </c>
      <c r="X77" s="9">
        <f t="shared" si="23"/>
        <v>9.330038100000003</v>
      </c>
      <c r="Y77" s="9">
        <f t="shared" ref="Y77:AE77" si="24">Y70+Y63</f>
        <v>11.899931729999992</v>
      </c>
      <c r="Z77" s="9">
        <f t="shared" si="24"/>
        <v>14.477391430000004</v>
      </c>
      <c r="AA77" s="9">
        <f t="shared" si="24"/>
        <v>9.8756328899999986</v>
      </c>
      <c r="AB77" s="9">
        <f t="shared" si="24"/>
        <v>9.6033398699999992</v>
      </c>
      <c r="AC77" s="9">
        <f t="shared" si="24"/>
        <v>18.467392519999997</v>
      </c>
      <c r="AD77" s="9">
        <f t="shared" si="24"/>
        <v>20.729749330000001</v>
      </c>
      <c r="AE77" s="9">
        <f t="shared" si="24"/>
        <v>17.927874249999995</v>
      </c>
      <c r="AF77" s="9">
        <f>AF70+AF63</f>
        <v>21.937408249999997</v>
      </c>
      <c r="AG77" s="9">
        <f>AG70+AG63</f>
        <v>21.715197460000002</v>
      </c>
      <c r="AH77" s="9">
        <f>AH70+AH63</f>
        <v>14.967796610000001</v>
      </c>
      <c r="AI77" s="9">
        <v>17.714756999999999</v>
      </c>
      <c r="AJ77" s="9">
        <f>AJ70+AJ63</f>
        <v>18.536157810000006</v>
      </c>
    </row>
    <row r="78" spans="1:36" ht="4.5" customHeight="1" x14ac:dyDescent="0.3">
      <c r="A78" s="1">
        <v>19</v>
      </c>
      <c r="C78" s="33">
        <f t="shared" si="13"/>
        <v>0</v>
      </c>
      <c r="D78" s="33">
        <f t="shared" si="14"/>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x14ac:dyDescent="0.3">
      <c r="A79" s="1">
        <v>20</v>
      </c>
      <c r="B79" s="5" t="s">
        <v>64</v>
      </c>
      <c r="C79" s="45">
        <f t="shared" si="13"/>
        <v>-1.91541703</v>
      </c>
      <c r="D79" s="45">
        <f t="shared" si="14"/>
        <v>-1.5264548799999997</v>
      </c>
      <c r="E79" s="36">
        <f>D79/C79-1</f>
        <v>-0.20306917183460582</v>
      </c>
      <c r="H79" s="5" t="s">
        <v>64</v>
      </c>
      <c r="I79" s="7"/>
      <c r="J79" s="7"/>
      <c r="K79" s="7"/>
      <c r="L79" s="7"/>
      <c r="M79" s="7"/>
      <c r="N79" s="7"/>
      <c r="O79" s="7"/>
      <c r="P79" s="7"/>
      <c r="Q79" s="45">
        <v>-1.9020556099999997</v>
      </c>
      <c r="R79" s="45">
        <v>-0.95662959000000014</v>
      </c>
      <c r="S79" s="45">
        <v>-1.38904001</v>
      </c>
      <c r="T79" s="45">
        <v>-1.64653396</v>
      </c>
      <c r="U79" s="45">
        <v>-1.35093598</v>
      </c>
      <c r="V79" s="45">
        <v>-1.4034176600000001</v>
      </c>
      <c r="W79" s="45">
        <v>-1.39107256</v>
      </c>
      <c r="X79" s="45">
        <v>-1.7022323799999999</v>
      </c>
      <c r="Y79" s="45">
        <v>-1.4411471600000001</v>
      </c>
      <c r="Z79" s="45">
        <v>-1.51758236</v>
      </c>
      <c r="AA79" s="45">
        <v>-1.6644289400000001</v>
      </c>
      <c r="AB79" s="45">
        <v>-1.50439375</v>
      </c>
      <c r="AC79" s="45">
        <v>-1.4640062700000001</v>
      </c>
      <c r="AD79" s="45">
        <v>-1.6127271700000001</v>
      </c>
      <c r="AE79" s="45">
        <v>-1.1963248800000001</v>
      </c>
      <c r="AF79" s="45">
        <v>-1.91541703</v>
      </c>
      <c r="AG79" s="45">
        <v>-1.4757811199999999</v>
      </c>
      <c r="AH79" s="45">
        <v>-1.5261225700000001</v>
      </c>
      <c r="AI79" s="45">
        <v>-1.5336618200000003</v>
      </c>
      <c r="AJ79" s="45">
        <v>-1.5264548799999997</v>
      </c>
    </row>
    <row r="80" spans="1:36" x14ac:dyDescent="0.3">
      <c r="A80" s="1">
        <v>21</v>
      </c>
      <c r="B80" s="5" t="s">
        <v>91</v>
      </c>
      <c r="C80" s="45">
        <f t="shared" si="13"/>
        <v>-1.0305582499999997</v>
      </c>
      <c r="D80" s="45">
        <f t="shared" si="14"/>
        <v>-0.73680754000000004</v>
      </c>
      <c r="E80" s="50">
        <f>D80/C80-1</f>
        <v>-0.28504037496182266</v>
      </c>
      <c r="H80" s="5" t="s">
        <v>91</v>
      </c>
      <c r="I80" s="7"/>
      <c r="J80" s="7"/>
      <c r="K80" s="7"/>
      <c r="L80" s="7"/>
      <c r="M80" s="7"/>
      <c r="N80" s="7"/>
      <c r="O80" s="7"/>
      <c r="P80" s="7"/>
      <c r="Q80" s="45">
        <v>-4.6529306799999999</v>
      </c>
      <c r="R80" s="45">
        <v>-3.0893527200000004</v>
      </c>
      <c r="S80" s="45">
        <v>-0.84189764999999994</v>
      </c>
      <c r="T80" s="45">
        <v>-1.86806512</v>
      </c>
      <c r="U80" s="45">
        <v>-0.51768802999999997</v>
      </c>
      <c r="V80" s="45">
        <v>-0.68306328000000005</v>
      </c>
      <c r="W80" s="45">
        <v>-0.97182712999999998</v>
      </c>
      <c r="X80" s="45">
        <v>10.162852590000002</v>
      </c>
      <c r="Y80" s="45">
        <v>-0.53674665999999993</v>
      </c>
      <c r="Z80" s="45">
        <v>-0.63847730999999985</v>
      </c>
      <c r="AA80" s="45">
        <v>-0.85316294999999986</v>
      </c>
      <c r="AB80" s="45">
        <v>-1.3746567500000002</v>
      </c>
      <c r="AC80" s="45">
        <v>-0.52620058000000003</v>
      </c>
      <c r="AD80" s="45">
        <v>-0.64479643999999992</v>
      </c>
      <c r="AE80" s="45">
        <v>-0.74230715999999985</v>
      </c>
      <c r="AF80" s="45">
        <v>-1.0305582499999997</v>
      </c>
      <c r="AG80" s="45">
        <v>-0.58283627999999998</v>
      </c>
      <c r="AH80" s="45">
        <v>8.5035019999999961E-2</v>
      </c>
      <c r="AI80" s="45">
        <v>-0.52473270999999999</v>
      </c>
      <c r="AJ80" s="45">
        <v>-0.73680754000000004</v>
      </c>
    </row>
    <row r="81" spans="1:36" x14ac:dyDescent="0.3">
      <c r="A81" s="1">
        <v>22</v>
      </c>
      <c r="B81" s="5" t="s">
        <v>66</v>
      </c>
      <c r="C81" s="45">
        <f t="shared" si="13"/>
        <v>-11.893788960000002</v>
      </c>
      <c r="D81" s="45">
        <f t="shared" si="14"/>
        <v>-11.69162096</v>
      </c>
      <c r="E81" s="36">
        <f t="shared" ref="E81" si="25">D81/C81-1</f>
        <v>-1.6997779318257078E-2</v>
      </c>
      <c r="H81" s="5" t="s">
        <v>66</v>
      </c>
      <c r="I81" s="7"/>
      <c r="J81" s="7"/>
      <c r="K81" s="7"/>
      <c r="L81" s="7"/>
      <c r="M81" s="7"/>
      <c r="N81" s="7"/>
      <c r="O81" s="7"/>
      <c r="P81" s="7"/>
      <c r="Q81" s="45">
        <v>-7.9848667500000001</v>
      </c>
      <c r="R81" s="45">
        <v>-7.9488865200000003</v>
      </c>
      <c r="S81" s="45">
        <v>-7.9521240000000013</v>
      </c>
      <c r="T81" s="45">
        <v>-8.0023987100000014</v>
      </c>
      <c r="U81" s="45">
        <v>-8.0354829599999995</v>
      </c>
      <c r="V81" s="45">
        <v>-8.0330798399999992</v>
      </c>
      <c r="W81" s="45">
        <v>-7.8220839199999972</v>
      </c>
      <c r="X81" s="45">
        <v>-8.3412998900000002</v>
      </c>
      <c r="Y81" s="45">
        <v>-8.1506856200000009</v>
      </c>
      <c r="Z81" s="45">
        <v>-8.2453212299999983</v>
      </c>
      <c r="AA81" s="45">
        <v>-8.2788340199999997</v>
      </c>
      <c r="AB81" s="45">
        <v>-8.5874377700000011</v>
      </c>
      <c r="AC81" s="45">
        <v>-10.861591690000001</v>
      </c>
      <c r="AD81" s="45">
        <v>-11.416930089999997</v>
      </c>
      <c r="AE81" s="45">
        <v>-11.762001100000001</v>
      </c>
      <c r="AF81" s="45">
        <v>-11.893788960000002</v>
      </c>
      <c r="AG81" s="45">
        <v>-11.21907732</v>
      </c>
      <c r="AH81" s="45">
        <v>-11.47850051</v>
      </c>
      <c r="AI81" s="45">
        <v>-12.182965490000001</v>
      </c>
      <c r="AJ81" s="45">
        <v>-11.69162096</v>
      </c>
    </row>
    <row r="82" spans="1:36" ht="4.5" customHeight="1" x14ac:dyDescent="0.3">
      <c r="A82" s="1">
        <v>23</v>
      </c>
      <c r="C82" s="33">
        <f t="shared" si="13"/>
        <v>0</v>
      </c>
      <c r="D82" s="33">
        <f t="shared" si="14"/>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x14ac:dyDescent="0.3">
      <c r="A83" s="1">
        <v>24</v>
      </c>
      <c r="B83" s="2" t="s">
        <v>92</v>
      </c>
      <c r="C83" s="9">
        <f t="shared" si="13"/>
        <v>7.0976440099999962</v>
      </c>
      <c r="D83" s="9">
        <f t="shared" si="14"/>
        <v>4.5812744300000059</v>
      </c>
      <c r="E83" s="38">
        <f>D83/C83-1</f>
        <v>-0.35453589620085657</v>
      </c>
      <c r="H83" s="2" t="s">
        <v>92</v>
      </c>
      <c r="I83" s="32"/>
      <c r="J83" s="32"/>
      <c r="K83" s="32"/>
      <c r="L83" s="32"/>
      <c r="M83" s="32"/>
      <c r="N83" s="32"/>
      <c r="O83" s="32"/>
      <c r="P83" s="32"/>
      <c r="Q83" s="9">
        <f t="shared" ref="Q83:W83" si="26">Q77+Q79+Q80+Q81</f>
        <v>8.7377634799999964</v>
      </c>
      <c r="R83" s="9">
        <f t="shared" si="26"/>
        <v>1.1725179499999996</v>
      </c>
      <c r="S83" s="9">
        <f t="shared" si="26"/>
        <v>8.1401808200000048</v>
      </c>
      <c r="T83" s="9">
        <f t="shared" si="26"/>
        <v>6.1001780300000057</v>
      </c>
      <c r="U83" s="9">
        <f t="shared" si="26"/>
        <v>3.3782531900000041</v>
      </c>
      <c r="V83" s="9">
        <f t="shared" si="26"/>
        <v>2.8786115799999976</v>
      </c>
      <c r="W83" s="9">
        <f t="shared" si="26"/>
        <v>5.6475608499999979</v>
      </c>
      <c r="X83" s="9">
        <f t="shared" ref="X83:Y83" si="27">X77+X79+X80+X81</f>
        <v>9.4493584200000047</v>
      </c>
      <c r="Y83" s="9">
        <f t="shared" si="27"/>
        <v>1.7713522899999905</v>
      </c>
      <c r="Z83" s="9">
        <f t="shared" ref="Z83" si="28">Z77+Z79+Z80+Z81</f>
        <v>4.0760105300000049</v>
      </c>
      <c r="AA83" s="9">
        <f t="shared" ref="AA83:AJ83" si="29">AA77+AA79+AA80+AA81</f>
        <v>-0.92079302000000141</v>
      </c>
      <c r="AB83" s="9">
        <f t="shared" si="29"/>
        <v>-1.8631484000000018</v>
      </c>
      <c r="AC83" s="9">
        <f t="shared" si="29"/>
        <v>5.6155939799999963</v>
      </c>
      <c r="AD83" s="9">
        <f t="shared" si="29"/>
        <v>7.0552956300000034</v>
      </c>
      <c r="AE83" s="9">
        <f t="shared" si="29"/>
        <v>4.227241109999996</v>
      </c>
      <c r="AF83" s="9">
        <f t="shared" si="29"/>
        <v>7.0976440099999962</v>
      </c>
      <c r="AG83" s="9">
        <f t="shared" si="29"/>
        <v>8.4375027400000029</v>
      </c>
      <c r="AH83" s="9">
        <f t="shared" si="29"/>
        <v>2.04820855</v>
      </c>
      <c r="AI83" s="9">
        <f t="shared" si="29"/>
        <v>3.4733969799999986</v>
      </c>
      <c r="AJ83" s="9">
        <f t="shared" si="29"/>
        <v>4.5812744300000059</v>
      </c>
    </row>
    <row r="84" spans="1:36" ht="4.5" customHeight="1" x14ac:dyDescent="0.3">
      <c r="A84" s="1">
        <v>25</v>
      </c>
      <c r="B84" s="42"/>
      <c r="C84" s="43">
        <f t="shared" si="13"/>
        <v>0</v>
      </c>
      <c r="D84" s="43">
        <f t="shared" si="14"/>
        <v>0</v>
      </c>
      <c r="E84" s="43"/>
      <c r="H84" s="42"/>
      <c r="I84" s="46"/>
      <c r="J84" s="46"/>
      <c r="K84" s="46"/>
      <c r="L84" s="46"/>
      <c r="M84" s="46"/>
      <c r="N84" s="46"/>
      <c r="O84" s="46"/>
      <c r="P84" s="46"/>
      <c r="Q84" s="43"/>
      <c r="R84" s="43"/>
      <c r="S84" s="43"/>
      <c r="T84" s="43"/>
      <c r="U84" s="43"/>
      <c r="V84" s="43"/>
      <c r="W84" s="43"/>
      <c r="X84" s="43"/>
      <c r="Y84" s="43"/>
      <c r="Z84" s="43"/>
      <c r="AA84" s="43"/>
      <c r="AB84" s="43"/>
      <c r="AC84" s="43"/>
      <c r="AD84" s="43"/>
      <c r="AE84" s="43"/>
      <c r="AF84" s="43"/>
      <c r="AG84" s="43"/>
      <c r="AH84" s="43"/>
      <c r="AI84" s="43"/>
      <c r="AJ84" s="43"/>
    </row>
    <row r="85" spans="1:36" x14ac:dyDescent="0.3">
      <c r="A85" s="1">
        <v>26</v>
      </c>
      <c r="B85" s="2" t="s">
        <v>68</v>
      </c>
      <c r="C85" s="9">
        <f t="shared" si="13"/>
        <v>18.991432969999998</v>
      </c>
      <c r="D85" s="9">
        <f t="shared" si="14"/>
        <v>16.272895390000006</v>
      </c>
      <c r="E85" s="38">
        <f>D85/C85-1</f>
        <v>-0.14314546902776404</v>
      </c>
      <c r="H85" s="2" t="s">
        <v>68</v>
      </c>
      <c r="I85" s="32"/>
      <c r="J85" s="32"/>
      <c r="K85" s="32"/>
      <c r="L85" s="32"/>
      <c r="M85" s="32"/>
      <c r="N85" s="32"/>
      <c r="O85" s="32"/>
      <c r="P85" s="32"/>
      <c r="Q85" s="9">
        <f t="shared" ref="Q85:W85" si="30">Q83-Q81</f>
        <v>16.722630229999996</v>
      </c>
      <c r="R85" s="9">
        <f t="shared" si="30"/>
        <v>9.1214044699999999</v>
      </c>
      <c r="S85" s="9">
        <f>S83-S81</f>
        <v>16.092304820000006</v>
      </c>
      <c r="T85" s="9">
        <f>T83-T81</f>
        <v>14.102576740000007</v>
      </c>
      <c r="U85" s="9">
        <f>U83-U81</f>
        <v>11.413736150000004</v>
      </c>
      <c r="V85" s="9">
        <f>V83-V81</f>
        <v>10.911691419999997</v>
      </c>
      <c r="W85" s="9">
        <f t="shared" si="30"/>
        <v>13.469644769999995</v>
      </c>
      <c r="X85" s="9">
        <f t="shared" ref="X85:Y85" si="31">X83-X81</f>
        <v>17.790658310000005</v>
      </c>
      <c r="Y85" s="9">
        <f t="shared" si="31"/>
        <v>9.9220379099999914</v>
      </c>
      <c r="Z85" s="9">
        <f t="shared" ref="Z85" si="32">Z83-Z81</f>
        <v>12.321331760000003</v>
      </c>
      <c r="AA85" s="9">
        <f t="shared" ref="AA85:AG85" si="33">AA83-AA81</f>
        <v>7.3580409999999983</v>
      </c>
      <c r="AB85" s="9">
        <f t="shared" si="33"/>
        <v>6.7242893699999993</v>
      </c>
      <c r="AC85" s="9">
        <f t="shared" si="33"/>
        <v>16.477185669999997</v>
      </c>
      <c r="AD85" s="9">
        <f t="shared" si="33"/>
        <v>18.472225720000001</v>
      </c>
      <c r="AE85" s="9">
        <f t="shared" si="33"/>
        <v>15.989242209999997</v>
      </c>
      <c r="AF85" s="9">
        <f t="shared" si="33"/>
        <v>18.991432969999998</v>
      </c>
      <c r="AG85" s="9">
        <f t="shared" si="33"/>
        <v>19.656580060000003</v>
      </c>
      <c r="AH85" s="9">
        <v>13.52670906</v>
      </c>
      <c r="AI85" s="9">
        <v>15.656362469999999</v>
      </c>
      <c r="AJ85" s="9">
        <f t="shared" ref="AJ85" si="34">AJ83-AJ81</f>
        <v>16.272895390000006</v>
      </c>
    </row>
    <row r="86" spans="1:36" x14ac:dyDescent="0.3">
      <c r="W86" s="54"/>
    </row>
    <row r="87" spans="1:36" x14ac:dyDescent="0.3">
      <c r="W87" s="54"/>
    </row>
    <row r="88" spans="1:36" ht="92.25" customHeight="1" x14ac:dyDescent="0.3">
      <c r="B88" s="97" t="s">
        <v>132</v>
      </c>
      <c r="C88" s="97"/>
      <c r="D88" s="97"/>
      <c r="E88" s="97"/>
      <c r="W88" s="54"/>
    </row>
    <row r="89" spans="1:36" x14ac:dyDescent="0.3">
      <c r="AG89" s="54"/>
      <c r="AH89" s="54"/>
      <c r="AI89" s="54"/>
      <c r="AJ89" s="54"/>
    </row>
    <row r="90" spans="1:36" ht="226.5" customHeight="1" x14ac:dyDescent="0.3">
      <c r="B90" s="97"/>
      <c r="C90" s="97"/>
      <c r="D90" s="97"/>
      <c r="E90" s="97"/>
      <c r="W90" s="54"/>
    </row>
    <row r="91" spans="1:36" x14ac:dyDescent="0.3">
      <c r="W91" s="55"/>
    </row>
  </sheetData>
  <mergeCells count="55">
    <mergeCell ref="AJ7:AJ8"/>
    <mergeCell ref="AJ60:AJ61"/>
    <mergeCell ref="L60:L61"/>
    <mergeCell ref="M60:M61"/>
    <mergeCell ref="B90:E90"/>
    <mergeCell ref="C37:C38"/>
    <mergeCell ref="D37:D38"/>
    <mergeCell ref="E37:E38"/>
    <mergeCell ref="C60:C61"/>
    <mergeCell ref="D60:D61"/>
    <mergeCell ref="B88:E88"/>
    <mergeCell ref="W60:W61"/>
    <mergeCell ref="AD60:AD61"/>
    <mergeCell ref="AC60:AC61"/>
    <mergeCell ref="AA60:AA61"/>
    <mergeCell ref="AB60:AB61"/>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J60:J61"/>
    <mergeCell ref="K60:K61"/>
    <mergeCell ref="AD7:AD8"/>
    <mergeCell ref="Z60:Z61"/>
    <mergeCell ref="U7:U8"/>
    <mergeCell ref="V7:V8"/>
    <mergeCell ref="W7:W8"/>
    <mergeCell ref="X7:X8"/>
    <mergeCell ref="Y7:Y8"/>
    <mergeCell ref="Y60:Y61"/>
    <mergeCell ref="X60:X61"/>
    <mergeCell ref="AI7:AI8"/>
    <mergeCell ref="AI60:AI61"/>
    <mergeCell ref="AH7:AH8"/>
    <mergeCell ref="AH60:AH61"/>
    <mergeCell ref="AG7:AG8"/>
    <mergeCell ref="AG60:AG61"/>
    <mergeCell ref="AF60:AF61"/>
    <mergeCell ref="AF7:AF8"/>
    <mergeCell ref="AE7:AE8"/>
    <mergeCell ref="AE60:AE61"/>
    <mergeCell ref="Z7:Z8"/>
    <mergeCell ref="AA7:AA8"/>
    <mergeCell ref="AB7:AB8"/>
    <mergeCell ref="AC7:AC8"/>
  </mergeCells>
  <pageMargins left="0.7" right="0.7" top="0.75" bottom="0.75" header="0.3" footer="0.3"/>
  <pageSetup orientation="portrait" r:id="rId1"/>
  <ignoredErrors>
    <ignoredError sqref="AB10 AB70" formula="1"/>
    <ignoredError sqref="C63:E85"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O50"/>
  <sheetViews>
    <sheetView topLeftCell="AF1" zoomScale="80" zoomScaleNormal="80" workbookViewId="0">
      <selection activeCell="AL21" sqref="AL21"/>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customWidth="1"/>
    <col min="21" max="26" width="15" style="1" customWidth="1"/>
    <col min="27" max="28" width="11.42578125" style="1" customWidth="1"/>
    <col min="29" max="29" width="11.42578125" style="1"/>
    <col min="30" max="35" width="11.42578125" style="1" customWidth="1"/>
    <col min="36" max="16384" width="11.42578125" style="1"/>
  </cols>
  <sheetData>
    <row r="4" spans="1:41"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41" ht="8.25" customHeight="1" x14ac:dyDescent="0.3"/>
    <row r="6" spans="1:41" x14ac:dyDescent="0.3">
      <c r="A6" s="1">
        <v>1</v>
      </c>
      <c r="B6" s="3" t="s">
        <v>96</v>
      </c>
      <c r="C6" s="94" t="s">
        <v>3</v>
      </c>
      <c r="D6" s="94" t="s">
        <v>141</v>
      </c>
      <c r="E6" s="94" t="s">
        <v>4</v>
      </c>
      <c r="H6" s="3" t="s">
        <v>96</v>
      </c>
      <c r="I6" s="94" t="s">
        <v>6</v>
      </c>
      <c r="J6" s="94" t="s">
        <v>7</v>
      </c>
      <c r="K6" s="94" t="s">
        <v>8</v>
      </c>
      <c r="L6" s="94" t="s">
        <v>9</v>
      </c>
      <c r="M6" s="94" t="s">
        <v>10</v>
      </c>
      <c r="N6" s="94" t="s">
        <v>11</v>
      </c>
      <c r="O6" s="94" t="s">
        <v>12</v>
      </c>
      <c r="P6" s="94" t="s">
        <v>13</v>
      </c>
      <c r="Q6" s="94" t="s">
        <v>14</v>
      </c>
      <c r="R6" s="94" t="s">
        <v>15</v>
      </c>
      <c r="S6" s="94" t="s">
        <v>16</v>
      </c>
      <c r="T6" s="94" t="s">
        <v>17</v>
      </c>
      <c r="U6" s="94" t="s">
        <v>18</v>
      </c>
      <c r="V6" s="94" t="s">
        <v>19</v>
      </c>
      <c r="W6" s="94" t="s">
        <v>20</v>
      </c>
      <c r="X6" s="94" t="s">
        <v>21</v>
      </c>
      <c r="Y6" s="94" t="s">
        <v>22</v>
      </c>
      <c r="Z6" s="94" t="s">
        <v>23</v>
      </c>
      <c r="AA6" s="94" t="s">
        <v>24</v>
      </c>
      <c r="AB6" s="94" t="s">
        <v>2</v>
      </c>
      <c r="AC6" s="94" t="s">
        <v>25</v>
      </c>
      <c r="AD6" s="94" t="s">
        <v>26</v>
      </c>
      <c r="AE6" s="94" t="s">
        <v>27</v>
      </c>
      <c r="AF6" s="94" t="s">
        <v>3</v>
      </c>
      <c r="AG6" s="94" t="s">
        <v>128</v>
      </c>
      <c r="AH6" s="94" t="s">
        <v>130</v>
      </c>
      <c r="AI6" s="94" t="s">
        <v>139</v>
      </c>
      <c r="AJ6" s="94" t="s">
        <v>141</v>
      </c>
    </row>
    <row r="7" spans="1:41" x14ac:dyDescent="0.3">
      <c r="A7" s="1">
        <v>2</v>
      </c>
      <c r="B7" s="3" t="s">
        <v>52</v>
      </c>
      <c r="C7" s="94"/>
      <c r="D7" s="94"/>
      <c r="E7" s="94"/>
      <c r="H7" s="3" t="s">
        <v>52</v>
      </c>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row>
    <row r="8" spans="1:41" ht="5.25" customHeight="1" x14ac:dyDescent="0.3">
      <c r="A8" s="1">
        <v>3</v>
      </c>
    </row>
    <row r="9" spans="1:41" x14ac:dyDescent="0.3">
      <c r="A9" s="1">
        <v>4</v>
      </c>
      <c r="B9" s="5" t="s">
        <v>69</v>
      </c>
      <c r="C9" s="8">
        <f>+HLOOKUP($C$6,$H$6:$AT$23,A9,FALSE)</f>
        <v>5.6272245399999994</v>
      </c>
      <c r="D9" s="8">
        <f>+HLOOKUP($D$6,$H$6:$AT$23,A9,FALSE)</f>
        <v>1.31337612</v>
      </c>
      <c r="E9" s="36">
        <f>+D9/C9-1</f>
        <v>-0.7666032143085586</v>
      </c>
      <c r="H9" s="5" t="s">
        <v>69</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f>5.03450279-AG33</f>
        <v>4.8967544300000005</v>
      </c>
      <c r="AH9" s="8">
        <f>2.96507997-AH33</f>
        <v>2.84445215</v>
      </c>
      <c r="AI9" s="8">
        <f>1.77239862-AI33</f>
        <v>1.4703623100000001</v>
      </c>
      <c r="AJ9" s="8">
        <f>1.47030009-AJ33</f>
        <v>1.31337612</v>
      </c>
    </row>
    <row r="10" spans="1:41" x14ac:dyDescent="0.3">
      <c r="A10" s="1">
        <v>5</v>
      </c>
      <c r="B10" s="5" t="s">
        <v>70</v>
      </c>
      <c r="C10" s="8">
        <f t="shared" ref="C10:C23" si="0">+HLOOKUP($C$6,$H$6:$AT$23,A10,FALSE)</f>
        <v>-15.93443744</v>
      </c>
      <c r="D10" s="8">
        <f t="shared" ref="D10:D23" si="1">+HLOOKUP($D$6,$H$6:$AT$23,A10,FALSE)</f>
        <v>-15.8623332918032</v>
      </c>
      <c r="E10" s="36">
        <f t="shared" ref="E10:E13" si="2">+D10/C10-1</f>
        <v>-4.5250513843556606E-3</v>
      </c>
      <c r="H10" s="5" t="s">
        <v>70</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f>+-22.52007699-AG34</f>
        <v>-15.671131449999999</v>
      </c>
      <c r="AH10" s="8">
        <f>+-22.69825814-AH34</f>
        <v>-16.0913121</v>
      </c>
      <c r="AI10" s="8">
        <f>-22.93371934-AI34</f>
        <v>-15.99297938</v>
      </c>
      <c r="AJ10" s="8">
        <f>+-22.3071621318032-AJ34</f>
        <v>-15.8623332918032</v>
      </c>
    </row>
    <row r="11" spans="1:41" x14ac:dyDescent="0.3">
      <c r="A11" s="1">
        <v>6</v>
      </c>
      <c r="B11" s="5" t="s">
        <v>71</v>
      </c>
      <c r="C11" s="8">
        <f t="shared" si="0"/>
        <v>-2.4574157799999981</v>
      </c>
      <c r="D11" s="8">
        <f t="shared" si="1"/>
        <v>3.6742374048677702</v>
      </c>
      <c r="E11" s="59">
        <v>0</v>
      </c>
      <c r="H11" s="5" t="s">
        <v>71</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f>+-4.81356807-AG35</f>
        <v>-3.4748028499999997</v>
      </c>
      <c r="AH11" s="8">
        <f>4.90670248-AH35</f>
        <v>6.4015687899999998</v>
      </c>
      <c r="AI11" s="8">
        <f>2.12866110999999-AI35</f>
        <v>2.3133282699999902</v>
      </c>
      <c r="AJ11" s="8">
        <f>3.48765462486777-AJ35</f>
        <v>3.6742374048677702</v>
      </c>
    </row>
    <row r="12" spans="1:41" x14ac:dyDescent="0.3">
      <c r="A12" s="1">
        <v>7</v>
      </c>
      <c r="B12" s="5" t="s">
        <v>72</v>
      </c>
      <c r="C12" s="8">
        <f t="shared" si="0"/>
        <v>2.0129498799999999</v>
      </c>
      <c r="D12" s="8">
        <f t="shared" si="1"/>
        <v>3.2800220100000002</v>
      </c>
      <c r="E12" s="36">
        <f t="shared" si="2"/>
        <v>0.62946034702066234</v>
      </c>
      <c r="H12" s="5" t="s">
        <v>72</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row>
    <row r="13" spans="1:41" x14ac:dyDescent="0.3">
      <c r="A13" s="1">
        <v>8</v>
      </c>
      <c r="B13" s="5" t="s">
        <v>73</v>
      </c>
      <c r="C13" s="8">
        <f t="shared" si="0"/>
        <v>-82.605248800000012</v>
      </c>
      <c r="D13" s="8">
        <f t="shared" si="1"/>
        <v>-13.078110480000021</v>
      </c>
      <c r="E13" s="36">
        <f t="shared" si="2"/>
        <v>-0.84167942509725824</v>
      </c>
      <c r="H13" s="5" t="s">
        <v>73</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f>+-29.42152742-AG36</f>
        <v>-28.321755769999999</v>
      </c>
      <c r="AH13" s="8">
        <f>+-9.42644867-AH36</f>
        <v>-8.2086153999999993</v>
      </c>
      <c r="AI13" s="8">
        <f>+-7.9983525-AI36</f>
        <v>-8.3186008599999983</v>
      </c>
      <c r="AJ13" s="8">
        <f>+-193.31770803-AJ36</f>
        <v>-13.078110480000021</v>
      </c>
      <c r="AM13" s="101"/>
      <c r="AN13" s="101"/>
      <c r="AO13" s="101"/>
    </row>
    <row r="14" spans="1:41" ht="5.25" customHeight="1" x14ac:dyDescent="0.3">
      <c r="A14" s="1">
        <v>9</v>
      </c>
      <c r="E14" s="39"/>
    </row>
    <row r="15" spans="1:41" x14ac:dyDescent="0.3">
      <c r="A15" s="1">
        <v>10</v>
      </c>
      <c r="B15" s="6" t="s">
        <v>74</v>
      </c>
      <c r="C15" s="9">
        <f t="shared" si="0"/>
        <v>-93.356927600000006</v>
      </c>
      <c r="D15" s="9">
        <f t="shared" si="1"/>
        <v>-20.672808236935449</v>
      </c>
      <c r="E15" s="38">
        <f>D15/C15-1</f>
        <v>-0.77856160471014202</v>
      </c>
      <c r="H15" s="6" t="s">
        <v>74</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 t="shared" si="3"/>
        <v>-40.227551349999999</v>
      </c>
      <c r="AH15" s="9">
        <f t="shared" si="3"/>
        <v>-12.911768689999999</v>
      </c>
      <c r="AI15" s="9">
        <f>SUM(AI9:AI13)</f>
        <v>-18.343538010000007</v>
      </c>
      <c r="AJ15" s="9">
        <f>SUM(AJ9:AJ13)</f>
        <v>-20.672808236935449</v>
      </c>
    </row>
    <row r="16" spans="1:41" ht="5.25" customHeight="1" x14ac:dyDescent="0.3">
      <c r="A16" s="1">
        <v>11</v>
      </c>
      <c r="E16" s="39"/>
    </row>
    <row r="17" spans="1:36" x14ac:dyDescent="0.3">
      <c r="A17" s="1">
        <v>12</v>
      </c>
      <c r="B17" s="6" t="s">
        <v>75</v>
      </c>
      <c r="C17" s="9">
        <f t="shared" si="0"/>
        <v>21.793171331313715</v>
      </c>
      <c r="D17" s="9">
        <f t="shared" si="1"/>
        <v>91.736542920932564</v>
      </c>
      <c r="E17" s="38">
        <f>D17/C17-1</f>
        <v>3.2094168639476566</v>
      </c>
      <c r="H17" s="6" t="s">
        <v>75</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100.65927460999998</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row>
    <row r="18" spans="1:36" ht="5.25" customHeight="1" x14ac:dyDescent="0.3">
      <c r="A18" s="1">
        <v>13</v>
      </c>
      <c r="E18" s="39"/>
    </row>
    <row r="19" spans="1:36" x14ac:dyDescent="0.3">
      <c r="A19" s="1">
        <v>14</v>
      </c>
      <c r="B19" s="5" t="s">
        <v>76</v>
      </c>
      <c r="C19" s="8">
        <f t="shared" si="0"/>
        <v>-4.9040871400000006</v>
      </c>
      <c r="D19" s="8">
        <f t="shared" si="1"/>
        <v>-25.436300393938801</v>
      </c>
      <c r="E19" s="50" t="s">
        <v>44</v>
      </c>
      <c r="H19" s="5" t="s">
        <v>76</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row>
    <row r="20" spans="1:36" ht="5.25" customHeight="1" x14ac:dyDescent="0.3">
      <c r="A20" s="1">
        <v>15</v>
      </c>
      <c r="E20" s="39"/>
    </row>
    <row r="21" spans="1:36" x14ac:dyDescent="0.3">
      <c r="A21" s="1">
        <v>16</v>
      </c>
      <c r="B21" s="3" t="s">
        <v>77</v>
      </c>
      <c r="C21" s="10">
        <f t="shared" si="0"/>
        <v>16.889084191313714</v>
      </c>
      <c r="D21" s="10">
        <f t="shared" si="1"/>
        <v>66.30024252699377</v>
      </c>
      <c r="E21" s="40">
        <f>D21/C21-1</f>
        <v>2.9256268590983097</v>
      </c>
      <c r="H21" s="3" t="s">
        <v>77</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69.492372169999982</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62.20715213-AI46</f>
        <v>64.605734240000004</v>
      </c>
      <c r="AJ21" s="17">
        <f t="shared" ref="AJ21" si="6">+AJ17+AJ19</f>
        <v>66.30024252699377</v>
      </c>
    </row>
    <row r="22" spans="1:36" ht="5.25" customHeight="1" x14ac:dyDescent="0.3">
      <c r="A22" s="1">
        <v>17</v>
      </c>
      <c r="E22" s="39"/>
    </row>
    <row r="23" spans="1:36" x14ac:dyDescent="0.3">
      <c r="A23" s="1">
        <v>18</v>
      </c>
      <c r="B23" s="5" t="s">
        <v>78</v>
      </c>
      <c r="C23" s="8">
        <f t="shared" si="0"/>
        <v>18.238692839152353</v>
      </c>
      <c r="D23" s="8">
        <f t="shared" si="1"/>
        <v>66.338387155693781</v>
      </c>
      <c r="E23" s="36">
        <f>+D23/C23-1</f>
        <v>2.6372336406306225</v>
      </c>
      <c r="H23" s="5" t="s">
        <v>78</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row>
    <row r="24" spans="1:36" x14ac:dyDescent="0.3">
      <c r="AG24" s="49"/>
    </row>
    <row r="26" spans="1:36" x14ac:dyDescent="0.3">
      <c r="U26" s="33"/>
      <c r="V26" s="33"/>
      <c r="W26" s="33"/>
      <c r="X26" s="33"/>
      <c r="Y26" s="33"/>
      <c r="Z26" s="33"/>
      <c r="AA26" s="33"/>
      <c r="AB26" s="33"/>
      <c r="AC26" s="33"/>
      <c r="AD26" s="33"/>
      <c r="AE26" s="33"/>
      <c r="AF26" s="33"/>
      <c r="AG26" s="33"/>
      <c r="AH26" s="33"/>
      <c r="AI26" s="33"/>
      <c r="AJ26" s="33"/>
    </row>
    <row r="28" spans="1:36" ht="23.25" x14ac:dyDescent="0.35">
      <c r="B28" s="12" t="s">
        <v>46</v>
      </c>
      <c r="C28" s="13"/>
      <c r="D28" s="13"/>
      <c r="E28" s="13"/>
      <c r="H28" s="12" t="s">
        <v>46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row>
    <row r="29" spans="1:36" ht="5.25" customHeight="1" x14ac:dyDescent="0.3"/>
    <row r="30" spans="1:36" ht="15.75" customHeight="1" x14ac:dyDescent="0.3">
      <c r="A30" s="1">
        <v>1</v>
      </c>
      <c r="B30" s="3" t="s">
        <v>96</v>
      </c>
      <c r="C30" s="94" t="s">
        <v>3</v>
      </c>
      <c r="D30" s="94" t="s">
        <v>141</v>
      </c>
      <c r="E30" s="94" t="s">
        <v>4</v>
      </c>
      <c r="H30" s="3" t="s">
        <v>96</v>
      </c>
      <c r="I30" s="94" t="s">
        <v>6</v>
      </c>
      <c r="J30" s="94" t="s">
        <v>7</v>
      </c>
      <c r="K30" s="94" t="s">
        <v>8</v>
      </c>
      <c r="L30" s="94" t="s">
        <v>9</v>
      </c>
      <c r="M30" s="94" t="s">
        <v>10</v>
      </c>
      <c r="N30" s="94" t="s">
        <v>11</v>
      </c>
      <c r="O30" s="94" t="s">
        <v>12</v>
      </c>
      <c r="P30" s="94" t="s">
        <v>13</v>
      </c>
      <c r="Q30" s="94" t="s">
        <v>14</v>
      </c>
      <c r="R30" s="94" t="s">
        <v>15</v>
      </c>
      <c r="S30" s="94" t="s">
        <v>16</v>
      </c>
      <c r="T30" s="94" t="s">
        <v>17</v>
      </c>
      <c r="U30" s="94" t="s">
        <v>18</v>
      </c>
      <c r="V30" s="94" t="s">
        <v>19</v>
      </c>
      <c r="W30" s="94" t="s">
        <v>20</v>
      </c>
      <c r="X30" s="94" t="s">
        <v>21</v>
      </c>
      <c r="Y30" s="94" t="s">
        <v>22</v>
      </c>
      <c r="Z30" s="94" t="s">
        <v>23</v>
      </c>
      <c r="AA30" s="94" t="s">
        <v>24</v>
      </c>
      <c r="AB30" s="94" t="s">
        <v>2</v>
      </c>
      <c r="AC30" s="94" t="s">
        <v>25</v>
      </c>
      <c r="AD30" s="94" t="s">
        <v>26</v>
      </c>
      <c r="AE30" s="94" t="s">
        <v>27</v>
      </c>
      <c r="AF30" s="94" t="s">
        <v>3</v>
      </c>
      <c r="AG30" s="94" t="s">
        <v>128</v>
      </c>
      <c r="AH30" s="94" t="s">
        <v>130</v>
      </c>
      <c r="AI30" s="94" t="s">
        <v>139</v>
      </c>
      <c r="AJ30" s="94" t="s">
        <v>141</v>
      </c>
    </row>
    <row r="31" spans="1:36" x14ac:dyDescent="0.3">
      <c r="A31" s="1">
        <v>2</v>
      </c>
      <c r="B31" s="3" t="s">
        <v>52</v>
      </c>
      <c r="C31" s="94"/>
      <c r="D31" s="94"/>
      <c r="E31" s="94"/>
      <c r="H31" s="3" t="s">
        <v>52</v>
      </c>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row>
    <row r="32" spans="1:36" ht="5.25" customHeight="1" x14ac:dyDescent="0.3">
      <c r="A32" s="1">
        <v>3</v>
      </c>
    </row>
    <row r="33" spans="1:36" x14ac:dyDescent="0.3">
      <c r="A33" s="1">
        <v>4</v>
      </c>
      <c r="B33" s="5" t="s">
        <v>69</v>
      </c>
      <c r="C33" s="8">
        <f>+HLOOKUP($C$30,$H$30:$AN$46,A33,FALSE)</f>
        <v>0.29090677999999998</v>
      </c>
      <c r="D33" s="8">
        <f>+HLOOKUP($D$30,$H$30:$AN$46,A33,FALSE)</f>
        <v>0.15692397000000002</v>
      </c>
      <c r="E33" s="36">
        <f>+D33/C33-1</f>
        <v>-0.46056956802450588</v>
      </c>
      <c r="H33" s="5" t="s">
        <v>69</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row>
    <row r="34" spans="1:36" x14ac:dyDescent="0.3">
      <c r="A34" s="1">
        <v>5</v>
      </c>
      <c r="B34" s="5" t="s">
        <v>70</v>
      </c>
      <c r="C34" s="8">
        <f t="shared" ref="C34:C44" si="7">+HLOOKUP($C$30,$H$30:$AN$46,A34,FALSE)</f>
        <v>-6.6142838900000003</v>
      </c>
      <c r="D34" s="8">
        <f t="shared" ref="D34:D46" si="8">+HLOOKUP($D$30,$H$30:$AN$46,A34,FALSE)</f>
        <v>-6.4448288399999996</v>
      </c>
      <c r="E34" s="36">
        <f t="shared" ref="E34" si="9">+D34/C34-1</f>
        <v>-2.5619561061809959E-2</v>
      </c>
      <c r="H34" s="5" t="s">
        <v>70</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row>
    <row r="35" spans="1:36" x14ac:dyDescent="0.3">
      <c r="A35" s="1">
        <v>6</v>
      </c>
      <c r="B35" s="5" t="s">
        <v>71</v>
      </c>
      <c r="C35" s="8">
        <f t="shared" si="7"/>
        <v>0.91169089000000003</v>
      </c>
      <c r="D35" s="8">
        <f t="shared" si="8"/>
        <v>-0.18658278000000017</v>
      </c>
      <c r="E35" s="65" t="s">
        <v>44</v>
      </c>
      <c r="H35" s="5" t="s">
        <v>71</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row>
    <row r="36" spans="1:36" x14ac:dyDescent="0.3">
      <c r="A36" s="1">
        <v>7</v>
      </c>
      <c r="B36" s="5" t="s">
        <v>73</v>
      </c>
      <c r="C36" s="8">
        <f t="shared" si="7"/>
        <v>-1.4757564699999999</v>
      </c>
      <c r="D36" s="8">
        <f t="shared" si="8"/>
        <v>-180.23959754999998</v>
      </c>
      <c r="E36" s="65" t="s">
        <v>44</v>
      </c>
      <c r="H36" s="5" t="s">
        <v>73</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row>
    <row r="37" spans="1:36" ht="5.25" customHeight="1" x14ac:dyDescent="0.3">
      <c r="A37" s="1">
        <v>8</v>
      </c>
      <c r="E37" s="91"/>
      <c r="S37" s="15"/>
    </row>
    <row r="38" spans="1:36" x14ac:dyDescent="0.3">
      <c r="A38" s="1">
        <v>9</v>
      </c>
      <c r="B38" s="6" t="s">
        <v>74</v>
      </c>
      <c r="C38" s="9">
        <f t="shared" si="7"/>
        <v>-6.8874426900000003</v>
      </c>
      <c r="D38" s="9">
        <f t="shared" si="8"/>
        <v>-186.71408519999997</v>
      </c>
      <c r="E38" s="63" t="s">
        <v>44</v>
      </c>
      <c r="H38" s="6" t="s">
        <v>74</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J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row>
    <row r="39" spans="1:36" ht="5.25" customHeight="1" x14ac:dyDescent="0.3">
      <c r="A39" s="1">
        <v>10</v>
      </c>
      <c r="E39" s="91"/>
      <c r="S39" s="15"/>
    </row>
    <row r="40" spans="1:36" x14ac:dyDescent="0.3">
      <c r="A40" s="1">
        <v>11</v>
      </c>
      <c r="B40" s="6" t="s">
        <v>75</v>
      </c>
      <c r="C40" s="9">
        <f t="shared" si="7"/>
        <v>0.20896997999999201</v>
      </c>
      <c r="D40" s="9">
        <f t="shared" si="8"/>
        <v>-182.13281076999996</v>
      </c>
      <c r="E40" s="63" t="s">
        <v>44</v>
      </c>
      <c r="H40" s="6" t="s">
        <v>75</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-0.71872556999999393</v>
      </c>
      <c r="AC40" s="9">
        <v>1.8706096800000052</v>
      </c>
      <c r="AD40" s="9">
        <v>-0.85428449999999678</v>
      </c>
      <c r="AE40" s="9">
        <v>-5.9965322100000034</v>
      </c>
      <c r="AF40" s="9">
        <v>0.20896997999999201</v>
      </c>
      <c r="AG40" s="9">
        <v>-0.71223130999999817</v>
      </c>
      <c r="AH40" s="9">
        <v>-7.15080925</v>
      </c>
      <c r="AI40" s="9">
        <v>-3.0297254700000034</v>
      </c>
      <c r="AJ40" s="9">
        <v>-182.13281076999996</v>
      </c>
    </row>
    <row r="41" spans="1:36" ht="5.25" customHeight="1" x14ac:dyDescent="0.3">
      <c r="A41" s="1">
        <v>12</v>
      </c>
      <c r="E41" s="39"/>
      <c r="S41" s="15"/>
    </row>
    <row r="42" spans="1:36" x14ac:dyDescent="0.3">
      <c r="A42" s="1">
        <v>13</v>
      </c>
      <c r="B42" s="5" t="s">
        <v>76</v>
      </c>
      <c r="C42" s="8">
        <f t="shared" si="7"/>
        <v>2.3853569299999995</v>
      </c>
      <c r="D42" s="8">
        <f t="shared" si="8"/>
        <v>52.9544414</v>
      </c>
      <c r="E42" s="36"/>
      <c r="H42" s="5" t="s">
        <v>76</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row>
    <row r="43" spans="1:36" ht="5.25" customHeight="1" x14ac:dyDescent="0.3">
      <c r="A43" s="1">
        <v>14</v>
      </c>
      <c r="E43" s="39"/>
      <c r="S43" s="15"/>
    </row>
    <row r="44" spans="1:36" x14ac:dyDescent="0.3">
      <c r="A44" s="1">
        <v>15</v>
      </c>
      <c r="B44" s="3" t="s">
        <v>77</v>
      </c>
      <c r="C44" s="51">
        <f t="shared" si="7"/>
        <v>2.5943269099999915</v>
      </c>
      <c r="D44" s="51">
        <f t="shared" si="8"/>
        <v>-129.17836936999996</v>
      </c>
      <c r="E44" s="52"/>
      <c r="H44" s="3" t="s">
        <v>77</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-2.1187255699999938</v>
      </c>
      <c r="AC44" s="17">
        <f>+AC40+AC42</f>
        <v>4.1620151400000056</v>
      </c>
      <c r="AD44" s="17">
        <f t="shared" ref="AD44:AG44" si="11">+AD40+AD42</f>
        <v>0.17004293000000326</v>
      </c>
      <c r="AE44" s="17">
        <f t="shared" si="11"/>
        <v>-8.9109858000000024</v>
      </c>
      <c r="AF44" s="17">
        <f t="shared" si="11"/>
        <v>2.5943269099999915</v>
      </c>
      <c r="AG44" s="17">
        <f t="shared" si="11"/>
        <v>-6.5632499299999978</v>
      </c>
      <c r="AH44" s="17">
        <v>-9.0495119099999997</v>
      </c>
      <c r="AI44" s="17">
        <v>-4.8452505800000036</v>
      </c>
      <c r="AJ44" s="17">
        <f t="shared" ref="AJ44" si="12">+AJ40+AJ42</f>
        <v>-129.17836936999996</v>
      </c>
    </row>
    <row r="45" spans="1:36" ht="5.25" customHeight="1" x14ac:dyDescent="0.3">
      <c r="A45" s="1">
        <v>16</v>
      </c>
      <c r="E45" s="39"/>
      <c r="S45" s="15"/>
    </row>
    <row r="46" spans="1:36" x14ac:dyDescent="0.3">
      <c r="A46" s="1">
        <v>17</v>
      </c>
      <c r="B46" s="5" t="s">
        <v>78</v>
      </c>
      <c r="C46" s="8">
        <f>+HLOOKUP($C$30,$H$30:$AN$47,A46,FALSE)</f>
        <v>1.3496086499999913</v>
      </c>
      <c r="D46" s="8">
        <f t="shared" si="8"/>
        <v>-65.880968378699976</v>
      </c>
      <c r="E46" s="50"/>
      <c r="H46" s="5" t="s">
        <v>78</v>
      </c>
      <c r="I46" s="18"/>
      <c r="J46" s="18"/>
      <c r="K46" s="18"/>
      <c r="L46" s="18"/>
      <c r="M46" s="18"/>
      <c r="N46" s="18"/>
      <c r="O46" s="18"/>
      <c r="P46" s="18"/>
      <c r="Q46" s="8">
        <f>+Q44*0.51</f>
        <v>3.860335737599998</v>
      </c>
      <c r="R46" s="8">
        <f t="shared" ref="R46:T46" si="13">+R44*0.51</f>
        <v>-0.2096214750000005</v>
      </c>
      <c r="S46" s="8">
        <f t="shared" si="13"/>
        <v>-0.75856034730000055</v>
      </c>
      <c r="T46" s="8">
        <f t="shared" si="13"/>
        <v>0.89423306670000302</v>
      </c>
      <c r="U46" s="8">
        <f>+U44-U47</f>
        <v>4.171250910000003</v>
      </c>
      <c r="V46" s="8">
        <f t="shared" ref="V46:AF46" si="14">+V44-V47</f>
        <v>-12.129309620000004</v>
      </c>
      <c r="W46" s="8">
        <f t="shared" si="14"/>
        <v>0.13145553999999782</v>
      </c>
      <c r="X46" s="8">
        <f t="shared" si="14"/>
        <v>3.2719259700000043</v>
      </c>
      <c r="Y46" s="8">
        <f t="shared" si="14"/>
        <v>-0.71925135000000906</v>
      </c>
      <c r="Z46" s="8">
        <f t="shared" si="14"/>
        <v>-1.6347808199999949</v>
      </c>
      <c r="AA46" s="8">
        <f t="shared" si="14"/>
        <v>-2.9987468100000014</v>
      </c>
      <c r="AB46" s="8">
        <f t="shared" si="14"/>
        <v>2.3857460500000056</v>
      </c>
      <c r="AC46" s="8">
        <f t="shared" si="14"/>
        <v>3.0307739099999909</v>
      </c>
      <c r="AD46" s="8">
        <f t="shared" si="14"/>
        <v>0.11151201000000327</v>
      </c>
      <c r="AE46" s="8">
        <f t="shared" si="14"/>
        <v>-4.5163217200000023</v>
      </c>
      <c r="AF46" s="8">
        <f t="shared" si="14"/>
        <v>1.3496086499999913</v>
      </c>
      <c r="AG46" s="8">
        <f>+AG44-AG47</f>
        <v>-3.3231319199999976</v>
      </c>
      <c r="AH46" s="8">
        <f>+AH44-AH47</f>
        <v>-4.5866115999999995</v>
      </c>
      <c r="AI46" s="8">
        <v>-2.39858211</v>
      </c>
      <c r="AJ46" s="8">
        <f>+AJ44-AJ47</f>
        <v>-65.880968378699976</v>
      </c>
    </row>
    <row r="47" spans="1:36" x14ac:dyDescent="0.3">
      <c r="A47" s="1">
        <v>18</v>
      </c>
      <c r="B47" s="5" t="s">
        <v>79</v>
      </c>
      <c r="C47" s="8">
        <f>+HLOOKUP($C$30,$H$30:$AN$47,A47,FALSE)</f>
        <v>1.2447182600000002</v>
      </c>
      <c r="D47" s="8">
        <f>+HLOOKUP($D$30,$H$30:$AN$47,A47,FALSE)</f>
        <v>-63.29740099129998</v>
      </c>
      <c r="E47" s="50"/>
      <c r="H47" s="5" t="s">
        <v>79</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row>
    <row r="48" spans="1:36" x14ac:dyDescent="0.3">
      <c r="U48" s="84"/>
      <c r="V48" s="84"/>
      <c r="W48" s="84"/>
      <c r="X48" s="84"/>
      <c r="Y48" s="84"/>
      <c r="Z48" s="84"/>
      <c r="AA48" s="84"/>
      <c r="AB48" s="84"/>
      <c r="AC48" s="84"/>
      <c r="AD48" s="84"/>
      <c r="AE48" s="84"/>
      <c r="AF48" s="84"/>
      <c r="AG48" s="84"/>
      <c r="AH48" s="84"/>
      <c r="AI48" s="84"/>
      <c r="AJ48" s="84"/>
    </row>
    <row r="49" spans="2:6" ht="183" customHeight="1" x14ac:dyDescent="0.3">
      <c r="B49" s="97" t="s">
        <v>129</v>
      </c>
      <c r="C49" s="97"/>
      <c r="D49" s="97"/>
      <c r="E49" s="97"/>
    </row>
    <row r="50" spans="2:6" x14ac:dyDescent="0.3">
      <c r="F50" s="1" t="s">
        <v>97</v>
      </c>
    </row>
  </sheetData>
  <mergeCells count="63">
    <mergeCell ref="AJ6:AJ7"/>
    <mergeCell ref="AJ30:AJ31"/>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R6:R7"/>
    <mergeCell ref="S6:S7"/>
    <mergeCell ref="T6:T7"/>
    <mergeCell ref="U6:U7"/>
    <mergeCell ref="V30:V31"/>
    <mergeCell ref="U30:U31"/>
    <mergeCell ref="R30:R31"/>
    <mergeCell ref="V6:V7"/>
    <mergeCell ref="AC30:AC31"/>
    <mergeCell ref="AB6:AB7"/>
    <mergeCell ref="AB30:AB31"/>
    <mergeCell ref="Z6:Z7"/>
    <mergeCell ref="Z30:Z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I6:AI7"/>
    <mergeCell ref="AI30:AI31"/>
    <mergeCell ref="AH6:AH7"/>
    <mergeCell ref="AH30:AH31"/>
    <mergeCell ref="AG6:AG7"/>
    <mergeCell ref="AG30:AG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Z49"/>
  <sheetViews>
    <sheetView topLeftCell="O1" zoomScale="90" zoomScaleNormal="90" workbookViewId="0">
      <selection activeCell="Z16" sqref="Z16"/>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6" width="11.42578125" style="1" customWidth="1"/>
    <col min="17" max="17" width="11.42578125" style="1"/>
    <col min="18" max="20" width="11.42578125" style="1" customWidth="1"/>
    <col min="21" max="16384" width="11.42578125" style="1"/>
  </cols>
  <sheetData>
    <row r="4" spans="1:26" ht="23.25" x14ac:dyDescent="0.35">
      <c r="B4" s="12" t="s">
        <v>0</v>
      </c>
      <c r="C4" s="13"/>
      <c r="D4" s="13"/>
      <c r="E4" s="13"/>
      <c r="H4" s="12" t="s">
        <v>0</v>
      </c>
      <c r="I4" s="13"/>
      <c r="J4" s="13"/>
      <c r="K4" s="13"/>
      <c r="L4" s="13"/>
      <c r="M4" s="13"/>
      <c r="N4" s="13"/>
      <c r="O4" s="13"/>
      <c r="P4" s="13"/>
      <c r="Q4" s="13"/>
      <c r="R4" s="13"/>
      <c r="S4" s="13"/>
      <c r="T4" s="13"/>
      <c r="U4" s="13"/>
      <c r="V4" s="13"/>
      <c r="W4" s="13"/>
      <c r="X4" s="13"/>
    </row>
    <row r="5" spans="1:26" ht="7.5" customHeight="1" x14ac:dyDescent="0.3"/>
    <row r="6" spans="1:26" ht="15.75" customHeight="1" x14ac:dyDescent="0.3">
      <c r="A6" s="1">
        <v>1</v>
      </c>
      <c r="B6" s="3" t="s">
        <v>98</v>
      </c>
      <c r="C6" s="98" t="s">
        <v>3</v>
      </c>
      <c r="D6" s="98" t="s">
        <v>141</v>
      </c>
      <c r="E6" s="94" t="s">
        <v>4</v>
      </c>
      <c r="H6" s="3" t="s">
        <v>98</v>
      </c>
      <c r="I6" s="94" t="s">
        <v>18</v>
      </c>
      <c r="J6" s="94" t="s">
        <v>19</v>
      </c>
      <c r="K6" s="94" t="s">
        <v>20</v>
      </c>
      <c r="L6" s="94" t="s">
        <v>21</v>
      </c>
      <c r="M6" s="94" t="s">
        <v>22</v>
      </c>
      <c r="N6" s="94" t="s">
        <v>23</v>
      </c>
      <c r="O6" s="94" t="s">
        <v>24</v>
      </c>
      <c r="P6" s="94" t="s">
        <v>2</v>
      </c>
      <c r="Q6" s="94" t="s">
        <v>25</v>
      </c>
      <c r="R6" s="94" t="s">
        <v>26</v>
      </c>
      <c r="S6" s="94" t="s">
        <v>27</v>
      </c>
      <c r="T6" s="94" t="s">
        <v>3</v>
      </c>
      <c r="U6" s="94" t="s">
        <v>128</v>
      </c>
      <c r="V6" s="94" t="s">
        <v>130</v>
      </c>
      <c r="W6" s="94" t="s">
        <v>139</v>
      </c>
      <c r="X6" s="94" t="s">
        <v>141</v>
      </c>
    </row>
    <row r="7" spans="1:26" x14ac:dyDescent="0.3">
      <c r="A7" s="1">
        <v>2</v>
      </c>
      <c r="B7" s="3" t="s">
        <v>52</v>
      </c>
      <c r="C7" s="98"/>
      <c r="D7" s="98"/>
      <c r="E7" s="94"/>
      <c r="H7" s="3" t="s">
        <v>52</v>
      </c>
      <c r="I7" s="94"/>
      <c r="J7" s="94"/>
      <c r="K7" s="94"/>
      <c r="L7" s="94"/>
      <c r="M7" s="94"/>
      <c r="N7" s="94"/>
      <c r="O7" s="94"/>
      <c r="P7" s="94"/>
      <c r="Q7" s="94"/>
      <c r="R7" s="94"/>
      <c r="S7" s="94"/>
      <c r="T7" s="94"/>
      <c r="U7" s="94"/>
      <c r="V7" s="94"/>
      <c r="W7" s="94"/>
      <c r="X7" s="94"/>
    </row>
    <row r="8" spans="1:26" ht="4.5" customHeight="1" x14ac:dyDescent="0.3">
      <c r="A8" s="1">
        <v>3</v>
      </c>
    </row>
    <row r="9" spans="1:26" x14ac:dyDescent="0.3">
      <c r="A9" s="1">
        <v>4</v>
      </c>
      <c r="B9" s="28" t="s">
        <v>99</v>
      </c>
      <c r="C9" s="14">
        <f>+HLOOKUP($C$6,$H$6:$AB$18,A9,FALSE)</f>
        <v>1069.0444025100001</v>
      </c>
      <c r="D9" s="14">
        <f>+HLOOKUP($D$6,$H$6:$AB$18,A9,FALSE)</f>
        <v>1184.6837488154599</v>
      </c>
      <c r="E9" s="36">
        <f>D9/C9-1</f>
        <v>0.10817076075975063</v>
      </c>
      <c r="H9" s="5" t="s">
        <v>99</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row>
    <row r="10" spans="1:26" x14ac:dyDescent="0.3">
      <c r="A10" s="1">
        <v>5</v>
      </c>
      <c r="B10" s="28" t="s">
        <v>100</v>
      </c>
      <c r="C10" s="14">
        <f t="shared" ref="C10:C18" si="0">+HLOOKUP($C$6,$H$6:$AB$18,A10,FALSE)</f>
        <v>4715.0582073800015</v>
      </c>
      <c r="D10" s="14">
        <f t="shared" ref="D10:D18" si="1">+HLOOKUP($D$6,$H$6:$AB$18,A10,FALSE)</f>
        <v>4692.081113313041</v>
      </c>
      <c r="E10" s="36">
        <f>D10/C10-1</f>
        <v>-4.8731305227572852E-3</v>
      </c>
      <c r="H10" s="28" t="s">
        <v>100</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row>
    <row r="11" spans="1:26" ht="5.25" customHeight="1" x14ac:dyDescent="0.3">
      <c r="A11" s="1">
        <v>6</v>
      </c>
      <c r="C11" s="15">
        <f t="shared" si="0"/>
        <v>0</v>
      </c>
      <c r="D11" s="15">
        <f t="shared" si="1"/>
        <v>0</v>
      </c>
      <c r="E11" s="41"/>
      <c r="I11" s="15"/>
      <c r="J11" s="15"/>
      <c r="K11" s="41"/>
      <c r="L11" s="41"/>
      <c r="M11" s="41"/>
      <c r="N11" s="41"/>
      <c r="O11" s="41"/>
      <c r="P11" s="41"/>
      <c r="Q11" s="41"/>
      <c r="R11" s="41"/>
      <c r="S11" s="41"/>
      <c r="T11" s="41"/>
      <c r="U11" s="41"/>
      <c r="V11" s="41"/>
      <c r="W11" s="41"/>
      <c r="X11" s="41"/>
    </row>
    <row r="12" spans="1:26" x14ac:dyDescent="0.3">
      <c r="A12" s="1">
        <v>7</v>
      </c>
      <c r="B12" s="6" t="s">
        <v>101</v>
      </c>
      <c r="C12" s="9">
        <f t="shared" si="0"/>
        <v>5784.102609890002</v>
      </c>
      <c r="D12" s="9">
        <f t="shared" si="1"/>
        <v>5876.7648621285007</v>
      </c>
      <c r="E12" s="38">
        <f>D12/C12-1</f>
        <v>1.6020160513760429E-2</v>
      </c>
      <c r="H12" s="6" t="s">
        <v>101</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X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row>
    <row r="13" spans="1:26" ht="5.25" customHeight="1" x14ac:dyDescent="0.3">
      <c r="A13" s="1">
        <v>8</v>
      </c>
    </row>
    <row r="14" spans="1:26" x14ac:dyDescent="0.3">
      <c r="A14" s="1">
        <v>9</v>
      </c>
      <c r="B14" s="5" t="s">
        <v>102</v>
      </c>
      <c r="C14" s="14">
        <f t="shared" si="0"/>
        <v>267.9885452499999</v>
      </c>
      <c r="D14" s="14">
        <f t="shared" si="1"/>
        <v>215.40118083056399</v>
      </c>
      <c r="E14" s="36">
        <f>D14/C14-1</f>
        <v>-0.1962298962083564</v>
      </c>
      <c r="H14" s="5" t="s">
        <v>102</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row>
    <row r="15" spans="1:26" x14ac:dyDescent="0.3">
      <c r="A15" s="1">
        <v>10</v>
      </c>
      <c r="B15" s="5" t="s">
        <v>103</v>
      </c>
      <c r="C15" s="14">
        <f t="shared" si="0"/>
        <v>2185.7482230700002</v>
      </c>
      <c r="D15" s="14">
        <f t="shared" si="1"/>
        <v>2331.50730189361</v>
      </c>
      <c r="E15" s="36">
        <f>D15/C15-1</f>
        <v>6.6686124817653125E-2</v>
      </c>
      <c r="H15" s="5" t="s">
        <v>103</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row>
    <row r="16" spans="1:26" x14ac:dyDescent="0.3">
      <c r="A16" s="1">
        <v>11</v>
      </c>
      <c r="B16" s="5" t="s">
        <v>104</v>
      </c>
      <c r="C16" s="14">
        <f t="shared" si="0"/>
        <v>3330.39901263</v>
      </c>
      <c r="D16" s="14">
        <f t="shared" si="1"/>
        <v>3329.8676748499997</v>
      </c>
      <c r="E16" s="36">
        <f t="shared" ref="E16" si="5">D16/C16-1</f>
        <v>-1.5954177802279812E-4</v>
      </c>
      <c r="H16" s="5" t="s">
        <v>104</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Z16" s="101"/>
    </row>
    <row r="17" spans="1:24" ht="4.5" customHeight="1" x14ac:dyDescent="0.3">
      <c r="A17" s="1">
        <v>12</v>
      </c>
      <c r="C17" s="1">
        <f t="shared" si="0"/>
        <v>0</v>
      </c>
      <c r="D17" s="39">
        <f t="shared" si="1"/>
        <v>0</v>
      </c>
      <c r="E17" s="39"/>
    </row>
    <row r="18" spans="1:24" x14ac:dyDescent="0.3">
      <c r="A18" s="1">
        <v>13</v>
      </c>
      <c r="B18" s="6" t="s">
        <v>105</v>
      </c>
      <c r="C18" s="9">
        <f t="shared" si="0"/>
        <v>5784.1357809500005</v>
      </c>
      <c r="D18" s="9">
        <f t="shared" si="1"/>
        <v>5876.7761575741733</v>
      </c>
      <c r="E18" s="38">
        <f>D18/C18-1</f>
        <v>1.6016286638581789E-2</v>
      </c>
      <c r="H18" s="6" t="s">
        <v>105</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X18" si="9">SUM(S14:S16)</f>
        <v>5873.0599255899997</v>
      </c>
      <c r="T18" s="9">
        <f t="shared" si="9"/>
        <v>5784.1357809500005</v>
      </c>
      <c r="U18" s="9">
        <f t="shared" si="9"/>
        <v>5931.17600322</v>
      </c>
      <c r="V18" s="9">
        <f t="shared" si="9"/>
        <v>5769.7528770700001</v>
      </c>
      <c r="W18" s="9">
        <f t="shared" si="9"/>
        <v>5843.1204401699997</v>
      </c>
      <c r="X18" s="9">
        <f t="shared" si="9"/>
        <v>5876.7761575741733</v>
      </c>
    </row>
    <row r="23" spans="1:24" ht="23.25" x14ac:dyDescent="0.35">
      <c r="B23" s="12" t="s">
        <v>46</v>
      </c>
      <c r="C23" s="13"/>
      <c r="D23" s="13"/>
      <c r="E23" s="13"/>
      <c r="H23" s="12" t="s">
        <v>46</v>
      </c>
      <c r="I23" s="13"/>
      <c r="J23" s="13"/>
      <c r="K23" s="13"/>
      <c r="L23" s="13"/>
      <c r="M23" s="13"/>
      <c r="N23" s="13"/>
      <c r="O23" s="13"/>
      <c r="P23" s="13"/>
      <c r="Q23" s="13"/>
      <c r="R23" s="13"/>
      <c r="S23" s="13"/>
      <c r="T23" s="13"/>
      <c r="U23" s="13"/>
      <c r="V23" s="13"/>
      <c r="W23" s="13"/>
      <c r="X23" s="13"/>
    </row>
    <row r="24" spans="1:24" ht="7.5" customHeight="1" x14ac:dyDescent="0.3"/>
    <row r="25" spans="1:24" x14ac:dyDescent="0.3">
      <c r="A25" s="1">
        <v>1</v>
      </c>
      <c r="B25" s="3" t="s">
        <v>98</v>
      </c>
      <c r="C25" s="98" t="s">
        <v>3</v>
      </c>
      <c r="D25" s="98" t="s">
        <v>141</v>
      </c>
      <c r="E25" s="94" t="s">
        <v>4</v>
      </c>
      <c r="H25" s="3" t="s">
        <v>98</v>
      </c>
      <c r="I25" s="94" t="s">
        <v>18</v>
      </c>
      <c r="J25" s="94" t="s">
        <v>19</v>
      </c>
      <c r="K25" s="94" t="s">
        <v>20</v>
      </c>
      <c r="L25" s="94" t="s">
        <v>21</v>
      </c>
      <c r="M25" s="94" t="s">
        <v>22</v>
      </c>
      <c r="N25" s="94" t="s">
        <v>23</v>
      </c>
      <c r="O25" s="94" t="s">
        <v>24</v>
      </c>
      <c r="P25" s="94" t="s">
        <v>2</v>
      </c>
      <c r="Q25" s="94" t="s">
        <v>25</v>
      </c>
      <c r="R25" s="94" t="s">
        <v>26</v>
      </c>
      <c r="S25" s="94" t="s">
        <v>27</v>
      </c>
      <c r="T25" s="94" t="s">
        <v>3</v>
      </c>
      <c r="U25" s="94" t="s">
        <v>128</v>
      </c>
      <c r="V25" s="94" t="s">
        <v>130</v>
      </c>
      <c r="W25" s="94" t="s">
        <v>139</v>
      </c>
      <c r="X25" s="94" t="s">
        <v>141</v>
      </c>
    </row>
    <row r="26" spans="1:24" x14ac:dyDescent="0.3">
      <c r="A26" s="1">
        <v>2</v>
      </c>
      <c r="B26" s="3" t="s">
        <v>52</v>
      </c>
      <c r="C26" s="98"/>
      <c r="D26" s="98"/>
      <c r="E26" s="94"/>
      <c r="H26" s="3" t="s">
        <v>52</v>
      </c>
      <c r="I26" s="94"/>
      <c r="J26" s="94"/>
      <c r="K26" s="94"/>
      <c r="L26" s="94"/>
      <c r="M26" s="94"/>
      <c r="N26" s="94"/>
      <c r="O26" s="94"/>
      <c r="P26" s="94"/>
      <c r="Q26" s="94"/>
      <c r="R26" s="94"/>
      <c r="S26" s="94"/>
      <c r="T26" s="94"/>
      <c r="U26" s="94"/>
      <c r="V26" s="94"/>
      <c r="W26" s="94"/>
      <c r="X26" s="94"/>
    </row>
    <row r="27" spans="1:24" ht="4.5" customHeight="1" x14ac:dyDescent="0.3">
      <c r="A27" s="1">
        <v>3</v>
      </c>
    </row>
    <row r="28" spans="1:24" x14ac:dyDescent="0.3">
      <c r="A28" s="1">
        <v>4</v>
      </c>
      <c r="B28" s="5" t="s">
        <v>99</v>
      </c>
      <c r="C28" s="7">
        <f>+HLOOKUP($C$25,$H$25:$W$37,A28,FALSE)</f>
        <v>70.365920110000005</v>
      </c>
      <c r="D28" s="7">
        <f>+HLOOKUP($D$25,$H$25:$X$37,A28,FALSE)</f>
        <v>74.501601039999997</v>
      </c>
      <c r="E28" s="36">
        <f>D28/C28-1</f>
        <v>5.8773919584009793E-2</v>
      </c>
      <c r="H28" s="5" t="s">
        <v>99</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row>
    <row r="29" spans="1:24" x14ac:dyDescent="0.3">
      <c r="A29" s="1">
        <v>5</v>
      </c>
      <c r="B29" s="5" t="s">
        <v>100</v>
      </c>
      <c r="C29" s="7">
        <f t="shared" ref="C29:C37" si="10">+HLOOKUP($C$25,$H$25:$W$37,A29,FALSE)</f>
        <v>850.84815062999985</v>
      </c>
      <c r="D29" s="7">
        <f>+HLOOKUP($D$25,$H$25:$X$37,A29,FALSE)</f>
        <v>682.61372834999975</v>
      </c>
      <c r="E29" s="36">
        <f>D29/C29-1</f>
        <v>-0.19772555438409667</v>
      </c>
      <c r="H29" s="5" t="s">
        <v>100</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row>
    <row r="30" spans="1:24" ht="4.5" customHeight="1" x14ac:dyDescent="0.3">
      <c r="A30" s="1">
        <v>6</v>
      </c>
      <c r="C30" s="1">
        <f t="shared" si="10"/>
        <v>0</v>
      </c>
      <c r="E30" s="39"/>
    </row>
    <row r="31" spans="1:24" x14ac:dyDescent="0.3">
      <c r="A31" s="1">
        <v>7</v>
      </c>
      <c r="B31" s="6" t="s">
        <v>101</v>
      </c>
      <c r="C31" s="9">
        <f t="shared" si="10"/>
        <v>921.2140707399999</v>
      </c>
      <c r="D31" s="9">
        <f>+HLOOKUP($D$25,$H$25:$X$37,A31,FALSE)</f>
        <v>757.11532938999972</v>
      </c>
      <c r="E31" s="38">
        <f>D31/C31-1</f>
        <v>-0.17813312514666835</v>
      </c>
      <c r="H31" s="6" t="s">
        <v>101</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X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row>
    <row r="32" spans="1:24" ht="4.5" customHeight="1" x14ac:dyDescent="0.3">
      <c r="A32" s="1">
        <v>8</v>
      </c>
      <c r="C32" s="1">
        <f t="shared" si="10"/>
        <v>0</v>
      </c>
      <c r="E32" s="39"/>
    </row>
    <row r="33" spans="1:24" x14ac:dyDescent="0.3">
      <c r="A33" s="1">
        <v>9</v>
      </c>
      <c r="B33" s="5" t="s">
        <v>102</v>
      </c>
      <c r="C33" s="7">
        <f t="shared" si="10"/>
        <v>70.349828369999997</v>
      </c>
      <c r="D33" s="7">
        <f>+HLOOKUP($D$25,$H$25:$X$37,A33,FALSE)</f>
        <v>91.141456650000023</v>
      </c>
      <c r="E33" s="36">
        <f>D33/C33-1</f>
        <v>0.29554625450751515</v>
      </c>
      <c r="H33" s="5" t="s">
        <v>102</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row>
    <row r="34" spans="1:24" x14ac:dyDescent="0.3">
      <c r="A34" s="1">
        <v>10</v>
      </c>
      <c r="B34" s="5" t="s">
        <v>106</v>
      </c>
      <c r="C34" s="7">
        <f t="shared" si="10"/>
        <v>445.62806600999994</v>
      </c>
      <c r="D34" s="7">
        <f>+HLOOKUP($D$25,$H$25:$X$38,A34,FALSE)</f>
        <v>410.47415591999999</v>
      </c>
      <c r="E34" s="36">
        <f t="shared" ref="E34:E35" si="15">D34/C34-1</f>
        <v>-7.8886212003557055E-2</v>
      </c>
      <c r="H34" s="5" t="s">
        <v>106</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row>
    <row r="35" spans="1:24" x14ac:dyDescent="0.3">
      <c r="A35" s="1">
        <v>11</v>
      </c>
      <c r="B35" s="5" t="s">
        <v>107</v>
      </c>
      <c r="C35" s="7">
        <f t="shared" si="10"/>
        <v>405.23617636</v>
      </c>
      <c r="D35" s="7">
        <f>+HLOOKUP($D$25,$H$25:$X$37,A35,FALSE)</f>
        <v>255.49979457000001</v>
      </c>
      <c r="E35" s="36">
        <f t="shared" si="15"/>
        <v>-0.36950398440483401</v>
      </c>
      <c r="H35" s="5" t="s">
        <v>107</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row>
    <row r="36" spans="1:24" ht="4.5" customHeight="1" x14ac:dyDescent="0.3">
      <c r="A36" s="1">
        <v>12</v>
      </c>
      <c r="C36" s="1">
        <f t="shared" si="10"/>
        <v>0</v>
      </c>
      <c r="E36" s="39"/>
    </row>
    <row r="37" spans="1:24" x14ac:dyDescent="0.3">
      <c r="A37" s="1">
        <v>13</v>
      </c>
      <c r="B37" s="6" t="s">
        <v>105</v>
      </c>
      <c r="C37" s="9">
        <f t="shared" si="10"/>
        <v>921.2140707399999</v>
      </c>
      <c r="D37" s="9">
        <f>+HLOOKUP($D$25,$H$25:$X$37,A37,FALSE)</f>
        <v>757.11540714</v>
      </c>
      <c r="E37" s="38">
        <f>D37/C37-1</f>
        <v>-0.17813304074717562</v>
      </c>
      <c r="H37" s="6" t="s">
        <v>105</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row>
    <row r="40" spans="1:24" x14ac:dyDescent="0.3">
      <c r="P40" s="55"/>
      <c r="T40" s="55"/>
      <c r="U40" s="55"/>
      <c r="V40" s="55"/>
      <c r="W40" s="55"/>
      <c r="X40" s="55"/>
    </row>
    <row r="41" spans="1:24" x14ac:dyDescent="0.3">
      <c r="P41" s="55"/>
      <c r="T41" s="55"/>
      <c r="U41" s="55"/>
      <c r="V41" s="55"/>
      <c r="W41" s="55"/>
      <c r="X41" s="55"/>
    </row>
    <row r="42" spans="1:24" x14ac:dyDescent="0.3">
      <c r="P42" s="55"/>
      <c r="T42" s="55"/>
      <c r="U42" s="55"/>
      <c r="V42" s="55"/>
      <c r="W42" s="55"/>
      <c r="X42" s="55"/>
    </row>
    <row r="43" spans="1:24" x14ac:dyDescent="0.3">
      <c r="P43" s="55"/>
      <c r="T43" s="55"/>
      <c r="U43" s="55"/>
      <c r="V43" s="55"/>
      <c r="W43" s="55"/>
      <c r="X43" s="55"/>
    </row>
    <row r="44" spans="1:24" x14ac:dyDescent="0.3">
      <c r="P44" s="55"/>
      <c r="T44" s="55"/>
      <c r="U44" s="55"/>
      <c r="V44" s="55"/>
      <c r="W44" s="55"/>
      <c r="X44" s="55"/>
    </row>
    <row r="45" spans="1:24" x14ac:dyDescent="0.3">
      <c r="P45" s="55"/>
      <c r="T45" s="55"/>
      <c r="U45" s="55"/>
      <c r="V45" s="55"/>
      <c r="W45" s="55"/>
      <c r="X45" s="55"/>
    </row>
    <row r="46" spans="1:24" x14ac:dyDescent="0.3">
      <c r="P46" s="55"/>
      <c r="T46" s="55"/>
      <c r="U46" s="55"/>
      <c r="V46" s="55"/>
      <c r="W46" s="55"/>
      <c r="X46" s="55"/>
    </row>
    <row r="47" spans="1:24" x14ac:dyDescent="0.3">
      <c r="P47" s="55"/>
      <c r="T47" s="55"/>
      <c r="U47" s="55"/>
      <c r="V47" s="55"/>
      <c r="W47" s="55"/>
      <c r="X47" s="55"/>
    </row>
    <row r="48" spans="1:24" x14ac:dyDescent="0.3">
      <c r="P48" s="55"/>
      <c r="T48" s="55"/>
      <c r="U48" s="55"/>
      <c r="V48" s="55"/>
      <c r="W48" s="55"/>
      <c r="X48" s="55"/>
    </row>
    <row r="49" spans="16:24" x14ac:dyDescent="0.3">
      <c r="P49" s="55"/>
      <c r="T49" s="55"/>
      <c r="U49" s="55"/>
      <c r="V49" s="55"/>
      <c r="W49" s="55"/>
      <c r="X49" s="55"/>
    </row>
  </sheetData>
  <mergeCells count="38">
    <mergeCell ref="S25:S26"/>
    <mergeCell ref="R6:R7"/>
    <mergeCell ref="R25:R26"/>
    <mergeCell ref="P6:P7"/>
    <mergeCell ref="X6:X7"/>
    <mergeCell ref="X25:X26"/>
    <mergeCell ref="W25:W26"/>
    <mergeCell ref="V6:V7"/>
    <mergeCell ref="V25:V26"/>
    <mergeCell ref="C6:C7"/>
    <mergeCell ref="D6:D7"/>
    <mergeCell ref="E6:E7"/>
    <mergeCell ref="W6:W7"/>
    <mergeCell ref="C25:C26"/>
    <mergeCell ref="D25:D26"/>
    <mergeCell ref="E25:E26"/>
    <mergeCell ref="U6:U7"/>
    <mergeCell ref="U25:U26"/>
    <mergeCell ref="P25:P26"/>
    <mergeCell ref="O25:O26"/>
    <mergeCell ref="N6:N7"/>
    <mergeCell ref="N25:N26"/>
    <mergeCell ref="T25:T26"/>
    <mergeCell ref="T6:T7"/>
    <mergeCell ref="S6:S7"/>
    <mergeCell ref="I25:I26"/>
    <mergeCell ref="J25:J26"/>
    <mergeCell ref="K25:K26"/>
    <mergeCell ref="I6:I7"/>
    <mergeCell ref="J6:J7"/>
    <mergeCell ref="K6:K7"/>
    <mergeCell ref="L6:L7"/>
    <mergeCell ref="L25:L26"/>
    <mergeCell ref="M6:M7"/>
    <mergeCell ref="M25:M26"/>
    <mergeCell ref="Q6:Q7"/>
    <mergeCell ref="Q25:Q26"/>
    <mergeCell ref="O6:O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J31"/>
  <sheetViews>
    <sheetView topLeftCell="A5" zoomScaleNormal="100" workbookViewId="0">
      <selection activeCell="C25" activeCellId="1" sqref="C11 C25"/>
    </sheetView>
  </sheetViews>
  <sheetFormatPr baseColWidth="10" defaultColWidth="11.42578125" defaultRowHeight="15" x14ac:dyDescent="0.3"/>
  <cols>
    <col min="1" max="1" width="30.28515625" style="1" customWidth="1"/>
    <col min="2" max="6" width="11.42578125" style="1"/>
    <col min="7" max="7" width="32.85546875" style="1" customWidth="1"/>
    <col min="8" max="30" width="11.42578125" style="1" customWidth="1"/>
    <col min="31" max="16384" width="11.42578125" style="1"/>
  </cols>
  <sheetData>
    <row r="4" spans="1:35"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5" spans="1:35" x14ac:dyDescent="0.3">
      <c r="F5" s="73"/>
    </row>
    <row r="6" spans="1:35" x14ac:dyDescent="0.3">
      <c r="A6" s="3" t="s">
        <v>108</v>
      </c>
      <c r="B6" s="94" t="s">
        <v>3</v>
      </c>
      <c r="C6" s="98" t="s">
        <v>141</v>
      </c>
      <c r="D6" s="94" t="s">
        <v>4</v>
      </c>
      <c r="F6" s="73">
        <v>1</v>
      </c>
      <c r="G6" s="3" t="s">
        <v>108</v>
      </c>
      <c r="H6" s="94" t="s">
        <v>6</v>
      </c>
      <c r="I6" s="94" t="s">
        <v>7</v>
      </c>
      <c r="J6" s="94" t="s">
        <v>8</v>
      </c>
      <c r="K6" s="94" t="s">
        <v>9</v>
      </c>
      <c r="L6" s="94" t="s">
        <v>10</v>
      </c>
      <c r="M6" s="94" t="s">
        <v>11</v>
      </c>
      <c r="N6" s="94" t="s">
        <v>12</v>
      </c>
      <c r="O6" s="94" t="s">
        <v>13</v>
      </c>
      <c r="P6" s="94" t="s">
        <v>14</v>
      </c>
      <c r="Q6" s="94" t="s">
        <v>15</v>
      </c>
      <c r="R6" s="94" t="s">
        <v>16</v>
      </c>
      <c r="S6" s="94" t="s">
        <v>17</v>
      </c>
      <c r="T6" s="94" t="s">
        <v>18</v>
      </c>
      <c r="U6" s="94" t="s">
        <v>19</v>
      </c>
      <c r="V6" s="94" t="s">
        <v>20</v>
      </c>
      <c r="W6" s="94" t="s">
        <v>21</v>
      </c>
      <c r="X6" s="94" t="s">
        <v>22</v>
      </c>
      <c r="Y6" s="94" t="s">
        <v>23</v>
      </c>
      <c r="Z6" s="94" t="s">
        <v>24</v>
      </c>
      <c r="AA6" s="94" t="s">
        <v>2</v>
      </c>
      <c r="AB6" s="94" t="s">
        <v>25</v>
      </c>
      <c r="AC6" s="94" t="s">
        <v>26</v>
      </c>
      <c r="AD6" s="94" t="s">
        <v>27</v>
      </c>
      <c r="AE6" s="94" t="s">
        <v>3</v>
      </c>
      <c r="AF6" s="94" t="s">
        <v>128</v>
      </c>
      <c r="AG6" s="94" t="s">
        <v>130</v>
      </c>
      <c r="AH6" s="94" t="s">
        <v>139</v>
      </c>
      <c r="AI6" s="94" t="s">
        <v>141</v>
      </c>
    </row>
    <row r="7" spans="1:35" x14ac:dyDescent="0.3">
      <c r="A7" s="3" t="s">
        <v>52</v>
      </c>
      <c r="B7" s="94"/>
      <c r="C7" s="98"/>
      <c r="D7" s="94"/>
      <c r="F7" s="73">
        <v>2</v>
      </c>
      <c r="G7" s="3" t="s">
        <v>52</v>
      </c>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row>
    <row r="8" spans="1:35" x14ac:dyDescent="0.3">
      <c r="F8" s="73">
        <v>3</v>
      </c>
    </row>
    <row r="9" spans="1:35" x14ac:dyDescent="0.3">
      <c r="A9" s="5" t="s">
        <v>109</v>
      </c>
      <c r="B9" s="8">
        <f>+HLOOKUP($B$6,$G$6:$AM$13,F9,FALSE)</f>
        <v>1219.4010661599998</v>
      </c>
      <c r="C9" s="8">
        <f>+HLOOKUP($C$6,$G$6:$AM$13,F9,FALSE)</f>
        <v>1336.7224258783999</v>
      </c>
      <c r="D9" s="47">
        <f>C9/B9-1</f>
        <v>9.6212282385364167E-2</v>
      </c>
      <c r="F9" s="73">
        <v>4</v>
      </c>
      <c r="G9" s="5" t="s">
        <v>110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row>
    <row r="10" spans="1:35" x14ac:dyDescent="0.3">
      <c r="A10" s="5" t="s">
        <v>111</v>
      </c>
      <c r="B10" s="8">
        <f t="shared" ref="B10:B13" si="0">+HLOOKUP($B$6,$G$6:$AM$13,F10,FALSE)</f>
        <v>773.54807795999977</v>
      </c>
      <c r="C10" s="8">
        <f t="shared" ref="C10:C13" si="1">+HLOOKUP($C$6,$G$6:$AM$13,F10,FALSE)</f>
        <v>938.55964359000006</v>
      </c>
      <c r="D10" s="47">
        <f t="shared" ref="D10:D13" si="2">C10/B10-1</f>
        <v>0.2133177889410165</v>
      </c>
      <c r="F10" s="73">
        <v>5</v>
      </c>
      <c r="G10" s="5" t="s">
        <v>111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row>
    <row r="11" spans="1:35" x14ac:dyDescent="0.3">
      <c r="A11" s="5" t="s">
        <v>112</v>
      </c>
      <c r="B11" s="8">
        <f t="shared" si="0"/>
        <v>445.85298820000003</v>
      </c>
      <c r="C11" s="93">
        <f t="shared" si="1"/>
        <v>398.16278228839985</v>
      </c>
      <c r="D11" s="47">
        <f t="shared" si="2"/>
        <v>-0.10696397057724183</v>
      </c>
      <c r="F11" s="73">
        <v>6</v>
      </c>
      <c r="G11" s="5" t="s">
        <v>112</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row>
    <row r="12" spans="1:35" x14ac:dyDescent="0.3">
      <c r="A12" s="5" t="s">
        <v>113</v>
      </c>
      <c r="B12" s="8">
        <f t="shared" si="0"/>
        <v>630.87492585131372</v>
      </c>
      <c r="C12" s="8">
        <f t="shared" si="1"/>
        <v>617.42694116786799</v>
      </c>
      <c r="D12" s="47">
        <f t="shared" si="2"/>
        <v>-2.1316403826477592E-2</v>
      </c>
      <c r="F12" s="73">
        <v>7</v>
      </c>
      <c r="G12" s="5" t="s">
        <v>113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634.66635070131372</v>
      </c>
      <c r="AG12" s="8">
        <f>SUM('Operating Income'!AE33:AH33)</f>
        <v>621.10782238131378</v>
      </c>
      <c r="AH12" s="8">
        <f>SUM('Operating Income'!AF33:AI33)</f>
        <v>617.70338974131369</v>
      </c>
      <c r="AI12" s="8">
        <f>682.539488147868-AI26</f>
        <v>617.42694116786799</v>
      </c>
    </row>
    <row r="13" spans="1:35" x14ac:dyDescent="0.3">
      <c r="A13" s="5" t="s">
        <v>114</v>
      </c>
      <c r="B13" s="8">
        <f t="shared" si="0"/>
        <v>0.70672168116106082</v>
      </c>
      <c r="C13" s="8">
        <f t="shared" si="1"/>
        <v>0.64487432559271185</v>
      </c>
      <c r="D13" s="47">
        <f t="shared" si="2"/>
        <v>-8.751302983480147E-2</v>
      </c>
      <c r="F13" s="73">
        <v>8</v>
      </c>
      <c r="G13" s="5" t="s">
        <v>114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0.62483640884977376</v>
      </c>
      <c r="AG13" s="8">
        <v>0.62856171092891566</v>
      </c>
      <c r="AH13" s="8">
        <f t="shared" ref="AH13" si="16">+AH11/AH12</f>
        <v>0.64702614888899512</v>
      </c>
      <c r="AI13" s="8">
        <f>+AI11/AI12</f>
        <v>0.64487432559271185</v>
      </c>
    </row>
    <row r="14" spans="1:35" x14ac:dyDescent="0.3">
      <c r="F14" s="73"/>
      <c r="U14" s="33"/>
      <c r="V14" s="33"/>
      <c r="W14" s="33"/>
      <c r="X14" s="33"/>
      <c r="Y14" s="33"/>
      <c r="Z14" s="33"/>
      <c r="AA14" s="33"/>
      <c r="AB14" s="33"/>
      <c r="AC14" s="33"/>
      <c r="AD14" s="33"/>
      <c r="AE14" s="33"/>
      <c r="AF14" s="33"/>
      <c r="AG14" s="33"/>
      <c r="AH14" s="33"/>
      <c r="AI14" s="33"/>
    </row>
    <row r="15" spans="1:35" x14ac:dyDescent="0.3">
      <c r="F15" s="73"/>
    </row>
    <row r="16" spans="1:35" x14ac:dyDescent="0.3">
      <c r="F16" s="73"/>
    </row>
    <row r="17" spans="1:36" x14ac:dyDescent="0.3">
      <c r="F17" s="73"/>
    </row>
    <row r="18" spans="1:36" ht="23.25" x14ac:dyDescent="0.35">
      <c r="A18" s="12" t="s">
        <v>46</v>
      </c>
      <c r="B18" s="13"/>
      <c r="C18" s="13"/>
      <c r="D18" s="13"/>
      <c r="F18" s="73"/>
      <c r="G18" s="12" t="s">
        <v>46</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row>
    <row r="19" spans="1:36" x14ac:dyDescent="0.3">
      <c r="F19" s="73"/>
    </row>
    <row r="20" spans="1:36" x14ac:dyDescent="0.3">
      <c r="A20" s="3" t="s">
        <v>108</v>
      </c>
      <c r="B20" s="94" t="s">
        <v>3</v>
      </c>
      <c r="C20" s="98" t="s">
        <v>141</v>
      </c>
      <c r="D20" s="94" t="s">
        <v>4</v>
      </c>
      <c r="F20" s="73">
        <v>1</v>
      </c>
      <c r="G20" s="3" t="s">
        <v>108</v>
      </c>
      <c r="H20" s="94" t="s">
        <v>6</v>
      </c>
      <c r="I20" s="94" t="s">
        <v>7</v>
      </c>
      <c r="J20" s="94" t="s">
        <v>8</v>
      </c>
      <c r="K20" s="94" t="s">
        <v>9</v>
      </c>
      <c r="L20" s="94" t="s">
        <v>10</v>
      </c>
      <c r="M20" s="94" t="s">
        <v>11</v>
      </c>
      <c r="N20" s="94" t="s">
        <v>12</v>
      </c>
      <c r="O20" s="94" t="s">
        <v>13</v>
      </c>
      <c r="P20" s="94" t="s">
        <v>14</v>
      </c>
      <c r="Q20" s="94" t="s">
        <v>15</v>
      </c>
      <c r="R20" s="94" t="s">
        <v>16</v>
      </c>
      <c r="S20" s="94" t="s">
        <v>17</v>
      </c>
      <c r="T20" s="94" t="s">
        <v>18</v>
      </c>
      <c r="U20" s="94" t="s">
        <v>19</v>
      </c>
      <c r="V20" s="94" t="s">
        <v>20</v>
      </c>
      <c r="W20" s="94" t="s">
        <v>21</v>
      </c>
      <c r="X20" s="94" t="s">
        <v>22</v>
      </c>
      <c r="Y20" s="94" t="s">
        <v>23</v>
      </c>
      <c r="Z20" s="94" t="s">
        <v>24</v>
      </c>
      <c r="AA20" s="94" t="s">
        <v>2</v>
      </c>
      <c r="AB20" s="94" t="s">
        <v>25</v>
      </c>
      <c r="AC20" s="94" t="s">
        <v>26</v>
      </c>
      <c r="AD20" s="94" t="s">
        <v>27</v>
      </c>
      <c r="AE20" s="94" t="s">
        <v>3</v>
      </c>
      <c r="AF20" s="94" t="s">
        <v>128</v>
      </c>
      <c r="AG20" s="94" t="s">
        <v>130</v>
      </c>
      <c r="AH20" s="94" t="s">
        <v>139</v>
      </c>
      <c r="AI20" s="94" t="s">
        <v>141</v>
      </c>
      <c r="AJ20" s="55"/>
    </row>
    <row r="21" spans="1:36" x14ac:dyDescent="0.3">
      <c r="A21" s="3" t="s">
        <v>52</v>
      </c>
      <c r="B21" s="94"/>
      <c r="C21" s="98"/>
      <c r="D21" s="94"/>
      <c r="F21" s="73">
        <v>2</v>
      </c>
      <c r="G21" s="3" t="s">
        <v>52</v>
      </c>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row>
    <row r="22" spans="1:36" x14ac:dyDescent="0.3">
      <c r="F22" s="73">
        <v>3</v>
      </c>
    </row>
    <row r="23" spans="1:36" x14ac:dyDescent="0.3">
      <c r="A23" s="5" t="s">
        <v>109</v>
      </c>
      <c r="B23" s="8">
        <f>+HLOOKUP($B$20,$G$20:$AM$27,F23,FALSE)</f>
        <v>459.26191867999995</v>
      </c>
      <c r="C23" s="8">
        <f>+HLOOKUP($C$20,$G$20:$AL$27,F23,FALSE)</f>
        <v>459.55068038999997</v>
      </c>
      <c r="D23" s="47">
        <f>C23/B23-1</f>
        <v>6.2875169539422515E-4</v>
      </c>
      <c r="F23" s="73">
        <v>4</v>
      </c>
      <c r="G23" s="5" t="s">
        <v>110</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+'[1]Carp Dir'!$I$4+'[1]Carp Dir'!$I$12</f>
        <v>459.55068038999997</v>
      </c>
    </row>
    <row r="24" spans="1:36" x14ac:dyDescent="0.3">
      <c r="A24" s="5" t="s">
        <v>111</v>
      </c>
      <c r="B24" s="8">
        <f t="shared" ref="B24:B27" si="17">+HLOOKUP($B$20,$G$20:$AM$27,F24,FALSE)</f>
        <v>23.76704196</v>
      </c>
      <c r="C24" s="8">
        <f t="shared" ref="C24:C27" si="18">+HLOOKUP($C$20,$G$20:$AL$27,F24,FALSE)</f>
        <v>28.840882880000002</v>
      </c>
      <c r="D24" s="47">
        <f t="shared" ref="D24:D27" si="19">C24/B24-1</f>
        <v>0.21348222166390296</v>
      </c>
      <c r="F24" s="73">
        <v>5</v>
      </c>
      <c r="G24" s="5" t="s">
        <v>111</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+'[1]Carp Dir'!$D$4</f>
        <v>28.840882880000002</v>
      </c>
      <c r="AJ24" s="92"/>
    </row>
    <row r="25" spans="1:36" x14ac:dyDescent="0.3">
      <c r="A25" s="5" t="s">
        <v>112</v>
      </c>
      <c r="B25" s="8">
        <f t="shared" si="17"/>
        <v>435.49487671999998</v>
      </c>
      <c r="C25" s="93">
        <f t="shared" si="18"/>
        <v>430.70979750999999</v>
      </c>
      <c r="D25" s="47">
        <f t="shared" si="19"/>
        <v>-1.0987681981564523E-2</v>
      </c>
      <c r="F25" s="73">
        <v>6</v>
      </c>
      <c r="G25" s="5" t="s">
        <v>112</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92"/>
    </row>
    <row r="26" spans="1:36" x14ac:dyDescent="0.3">
      <c r="A26" s="5" t="s">
        <v>113</v>
      </c>
      <c r="B26" s="8">
        <f t="shared" si="17"/>
        <v>69.930086569999986</v>
      </c>
      <c r="C26" s="8">
        <f t="shared" si="18"/>
        <v>65.112546980000005</v>
      </c>
      <c r="D26" s="47">
        <f t="shared" si="19"/>
        <v>-6.8890799744365072E-2</v>
      </c>
      <c r="F26" s="73">
        <v>7</v>
      </c>
      <c r="G26" s="5" t="s">
        <v>113</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68.163964299999989</v>
      </c>
      <c r="AH26" s="8">
        <f>+SUM('Operating Income'!AF85:AI85)</f>
        <v>67.831084560000008</v>
      </c>
      <c r="AI26" s="8">
        <v>65.112546980000005</v>
      </c>
    </row>
    <row r="27" spans="1:36" x14ac:dyDescent="0.3">
      <c r="A27" s="5" t="s">
        <v>114</v>
      </c>
      <c r="B27" s="8">
        <f t="shared" si="17"/>
        <v>6.2275752552382411</v>
      </c>
      <c r="C27" s="8">
        <f t="shared" si="18"/>
        <v>6.6148510154624569</v>
      </c>
      <c r="D27" s="47">
        <f t="shared" si="19"/>
        <v>6.2187246938278928E-2</v>
      </c>
      <c r="F27" s="73">
        <v>8</v>
      </c>
      <c r="G27" s="5" t="s">
        <v>114</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6.3277955051390702</v>
      </c>
      <c r="AH27" s="8">
        <f t="shared" si="30"/>
        <v>6.3563394272226263</v>
      </c>
      <c r="AI27" s="8">
        <f>+AI25/AI26</f>
        <v>6.6148510154624569</v>
      </c>
    </row>
    <row r="29" spans="1:36" x14ac:dyDescent="0.3">
      <c r="G29" s="1" t="s">
        <v>115</v>
      </c>
      <c r="R29" s="33"/>
      <c r="S29" s="33"/>
      <c r="T29" s="33"/>
      <c r="U29" s="33"/>
      <c r="V29" s="33"/>
      <c r="W29" s="33"/>
      <c r="X29" s="33"/>
      <c r="Y29" s="33"/>
      <c r="Z29" s="33"/>
      <c r="AA29" s="33"/>
      <c r="AB29" s="33"/>
      <c r="AC29" s="33"/>
      <c r="AD29" s="33"/>
      <c r="AE29" s="33"/>
      <c r="AF29" s="33"/>
      <c r="AG29" s="33"/>
      <c r="AH29" s="33"/>
      <c r="AI29" s="33"/>
    </row>
    <row r="30" spans="1:36" x14ac:dyDescent="0.3">
      <c r="B30" s="53"/>
    </row>
    <row r="31" spans="1:36" ht="119.25" customHeight="1" x14ac:dyDescent="0.3">
      <c r="A31" s="99" t="s">
        <v>133</v>
      </c>
      <c r="B31" s="99"/>
      <c r="C31" s="99"/>
      <c r="D31" s="99"/>
    </row>
  </sheetData>
  <mergeCells count="63">
    <mergeCell ref="AI6:AI7"/>
    <mergeCell ref="AI20:AI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R20:R21"/>
    <mergeCell ref="S20:S21"/>
    <mergeCell ref="AB6:AB7"/>
    <mergeCell ref="AB20:AB21"/>
    <mergeCell ref="Z6:Z7"/>
    <mergeCell ref="Z20:Z21"/>
    <mergeCell ref="Y6:Y7"/>
    <mergeCell ref="Y20:Y21"/>
    <mergeCell ref="AA6:AA7"/>
    <mergeCell ref="AA20:AA21"/>
    <mergeCell ref="X6:X7"/>
    <mergeCell ref="X20:X21"/>
    <mergeCell ref="T20:T21"/>
    <mergeCell ref="AC6:AC7"/>
    <mergeCell ref="AC20:AC21"/>
    <mergeCell ref="AF6:AF7"/>
    <mergeCell ref="AF20:AF21"/>
    <mergeCell ref="AE20:AE21"/>
    <mergeCell ref="AE6:AE7"/>
    <mergeCell ref="AH6:AH7"/>
    <mergeCell ref="AH20:AH21"/>
    <mergeCell ref="AG6:AG7"/>
    <mergeCell ref="AG20:AG21"/>
    <mergeCell ref="AD6:AD7"/>
    <mergeCell ref="AD20:AD2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L22"/>
  <sheetViews>
    <sheetView tabSelected="1" zoomScale="90" zoomScaleNormal="90" workbookViewId="0">
      <selection activeCell="P21" sqref="P21"/>
    </sheetView>
  </sheetViews>
  <sheetFormatPr baseColWidth="10" defaultColWidth="11.42578125" defaultRowHeight="15" x14ac:dyDescent="0.3"/>
  <cols>
    <col min="1" max="1" width="27.28515625" style="48" customWidth="1"/>
    <col min="2" max="2" width="7.85546875" style="48" hidden="1" customWidth="1"/>
    <col min="3" max="12" width="7.85546875" style="48" customWidth="1"/>
    <col min="13" max="15" width="8" style="48" customWidth="1"/>
    <col min="16" max="16384" width="11.42578125" style="48"/>
  </cols>
  <sheetData>
    <row r="4" spans="1:12" ht="23.25" x14ac:dyDescent="0.35">
      <c r="A4" s="12" t="s">
        <v>0</v>
      </c>
      <c r="B4" s="13"/>
      <c r="C4" s="13"/>
      <c r="D4" s="13"/>
      <c r="E4" s="13"/>
      <c r="F4" s="13"/>
      <c r="G4" s="13"/>
      <c r="H4" s="13"/>
      <c r="I4" s="13"/>
      <c r="J4" s="13"/>
      <c r="K4" s="13"/>
      <c r="L4" s="13"/>
    </row>
    <row r="5" spans="1:12" ht="14.25" customHeight="1" x14ac:dyDescent="0.3">
      <c r="A5" s="1"/>
      <c r="B5" s="1"/>
    </row>
    <row r="6" spans="1:12" x14ac:dyDescent="0.3">
      <c r="A6" s="3" t="s">
        <v>116</v>
      </c>
      <c r="B6" s="94">
        <v>2018</v>
      </c>
      <c r="C6" s="94">
        <v>2021</v>
      </c>
      <c r="D6" s="94">
        <v>2022</v>
      </c>
      <c r="E6" s="94">
        <v>2023</v>
      </c>
      <c r="F6" s="94">
        <v>2024</v>
      </c>
      <c r="G6" s="94">
        <v>2025</v>
      </c>
      <c r="H6" s="94">
        <v>2026</v>
      </c>
      <c r="I6" s="94">
        <v>2027</v>
      </c>
      <c r="J6" s="94">
        <v>2028</v>
      </c>
      <c r="K6" s="94">
        <v>2029</v>
      </c>
      <c r="L6" s="94">
        <v>2030</v>
      </c>
    </row>
    <row r="7" spans="1:12" x14ac:dyDescent="0.3">
      <c r="A7" s="3" t="s">
        <v>52</v>
      </c>
      <c r="B7" s="94"/>
      <c r="C7" s="94"/>
      <c r="D7" s="94"/>
      <c r="E7" s="94"/>
      <c r="F7" s="94"/>
      <c r="G7" s="94"/>
      <c r="H7" s="94"/>
      <c r="I7" s="94"/>
      <c r="J7" s="94"/>
      <c r="K7" s="94"/>
      <c r="L7" s="94"/>
    </row>
    <row r="8" spans="1:12" ht="8.25" customHeight="1" x14ac:dyDescent="0.3">
      <c r="A8" s="1"/>
      <c r="B8" s="1"/>
    </row>
    <row r="9" spans="1:12" ht="16.5" x14ac:dyDescent="0.3">
      <c r="A9" s="5" t="s">
        <v>117</v>
      </c>
      <c r="B9" s="7">
        <v>0</v>
      </c>
      <c r="C9" s="85">
        <v>34.522744609645898</v>
      </c>
      <c r="D9" s="85">
        <v>26.798991236235011</v>
      </c>
      <c r="E9" s="85">
        <v>26.798991236235008</v>
      </c>
      <c r="F9" s="85">
        <v>184.20899123623502</v>
      </c>
      <c r="G9" s="85">
        <v>26.798991236235011</v>
      </c>
      <c r="H9" s="85">
        <v>26.798991236235008</v>
      </c>
      <c r="I9" s="85">
        <v>526.798991236235</v>
      </c>
      <c r="J9" s="7">
        <v>18.412227140626317</v>
      </c>
      <c r="K9" s="7">
        <v>5.0125899679530557</v>
      </c>
      <c r="L9" s="7">
        <v>500</v>
      </c>
    </row>
    <row r="14" spans="1:12" ht="23.25" x14ac:dyDescent="0.35">
      <c r="A14" s="12" t="s">
        <v>46</v>
      </c>
      <c r="B14" s="13"/>
      <c r="C14" s="13"/>
      <c r="D14" s="13"/>
      <c r="E14" s="13"/>
      <c r="F14" s="13"/>
      <c r="G14" s="13"/>
      <c r="H14" s="13"/>
      <c r="I14" s="13"/>
      <c r="J14" s="13"/>
      <c r="K14" s="13"/>
      <c r="L14" s="13"/>
    </row>
    <row r="15" spans="1:12" ht="13.5" customHeight="1" x14ac:dyDescent="0.3">
      <c r="A15" s="1"/>
      <c r="B15" s="1"/>
    </row>
    <row r="16" spans="1:12" x14ac:dyDescent="0.3">
      <c r="A16" s="3" t="s">
        <v>116</v>
      </c>
      <c r="B16" s="94">
        <v>2018</v>
      </c>
      <c r="C16" s="94">
        <v>2021</v>
      </c>
      <c r="D16" s="94">
        <v>2022</v>
      </c>
      <c r="E16" s="94">
        <v>2023</v>
      </c>
      <c r="F16" s="94">
        <v>2024</v>
      </c>
      <c r="G16" s="94">
        <v>2025</v>
      </c>
      <c r="H16" s="94">
        <v>2026</v>
      </c>
      <c r="I16" s="94">
        <v>2027</v>
      </c>
      <c r="J16" s="96">
        <v>2028</v>
      </c>
      <c r="K16" s="94">
        <v>2029</v>
      </c>
      <c r="L16" s="94">
        <v>2030</v>
      </c>
    </row>
    <row r="17" spans="1:12" x14ac:dyDescent="0.3">
      <c r="A17" s="3" t="s">
        <v>52</v>
      </c>
      <c r="B17" s="94"/>
      <c r="C17" s="94"/>
      <c r="D17" s="94"/>
      <c r="E17" s="94"/>
      <c r="F17" s="94"/>
      <c r="G17" s="94"/>
      <c r="H17" s="94"/>
      <c r="I17" s="94"/>
      <c r="J17" s="96"/>
      <c r="K17" s="94"/>
      <c r="L17" s="94"/>
    </row>
    <row r="18" spans="1:12" x14ac:dyDescent="0.3">
      <c r="A18" s="1"/>
      <c r="B18" s="1"/>
    </row>
    <row r="19" spans="1:12" ht="16.5" x14ac:dyDescent="0.3">
      <c r="A19" s="5" t="s">
        <v>118</v>
      </c>
      <c r="B19" s="7">
        <v>0</v>
      </c>
      <c r="C19" s="85">
        <v>24</v>
      </c>
      <c r="D19" s="85">
        <v>27</v>
      </c>
      <c r="E19" s="85">
        <v>28</v>
      </c>
      <c r="F19" s="85">
        <v>24</v>
      </c>
      <c r="G19" s="85">
        <v>16</v>
      </c>
      <c r="H19" s="85">
        <v>18</v>
      </c>
      <c r="I19" s="85">
        <v>168</v>
      </c>
      <c r="J19" s="7">
        <v>0</v>
      </c>
      <c r="K19" s="7">
        <v>0</v>
      </c>
      <c r="L19" s="7">
        <v>0</v>
      </c>
    </row>
    <row r="22" spans="1:12" x14ac:dyDescent="0.3">
      <c r="A22" s="1" t="s">
        <v>119</v>
      </c>
      <c r="B22" s="1"/>
      <c r="C22" s="1"/>
      <c r="D22" s="1"/>
      <c r="E22" s="1"/>
      <c r="F22" s="1"/>
      <c r="G22" s="1"/>
      <c r="H22" s="1"/>
      <c r="I22" s="1"/>
    </row>
  </sheetData>
  <mergeCells count="22">
    <mergeCell ref="L6:L7"/>
    <mergeCell ref="L16:L17"/>
    <mergeCell ref="K6:K7"/>
    <mergeCell ref="C6:C7"/>
    <mergeCell ref="D6:D7"/>
    <mergeCell ref="J6:J7"/>
    <mergeCell ref="I6:I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K40"/>
  <sheetViews>
    <sheetView topLeftCell="B1" zoomScale="80" zoomScaleNormal="80" workbookViewId="0">
      <selection activeCell="F40" sqref="F40"/>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3" width="11.42578125" style="1" customWidth="1"/>
    <col min="24" max="24" width="11.42578125" style="1"/>
    <col min="25" max="26" width="11.42578125" style="1" customWidth="1"/>
    <col min="27" max="16384" width="11.42578125" style="1"/>
  </cols>
  <sheetData>
    <row r="4" spans="1:37"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6" spans="1:37" x14ac:dyDescent="0.3">
      <c r="A6" s="1">
        <v>1</v>
      </c>
      <c r="B6" s="3" t="s">
        <v>120</v>
      </c>
      <c r="C6" s="94" t="s">
        <v>3</v>
      </c>
      <c r="D6" s="94" t="s">
        <v>141</v>
      </c>
      <c r="E6" s="94" t="s">
        <v>4</v>
      </c>
      <c r="H6" s="3" t="s">
        <v>120</v>
      </c>
      <c r="I6" s="94" t="s">
        <v>6</v>
      </c>
      <c r="J6" s="94" t="s">
        <v>7</v>
      </c>
      <c r="K6" s="94" t="s">
        <v>8</v>
      </c>
      <c r="L6" s="94" t="s">
        <v>9</v>
      </c>
      <c r="M6" s="94" t="s">
        <v>10</v>
      </c>
      <c r="N6" s="94" t="s">
        <v>11</v>
      </c>
      <c r="O6" s="94" t="s">
        <v>12</v>
      </c>
      <c r="P6" s="94" t="s">
        <v>13</v>
      </c>
      <c r="Q6" s="94" t="s">
        <v>14</v>
      </c>
      <c r="R6" s="94" t="s">
        <v>15</v>
      </c>
      <c r="S6" s="94" t="s">
        <v>16</v>
      </c>
      <c r="T6" s="94" t="s">
        <v>17</v>
      </c>
      <c r="U6" s="94" t="s">
        <v>18</v>
      </c>
      <c r="V6" s="94" t="s">
        <v>19</v>
      </c>
      <c r="W6" s="94" t="s">
        <v>20</v>
      </c>
      <c r="X6" s="94" t="s">
        <v>21</v>
      </c>
      <c r="Y6" s="94" t="s">
        <v>22</v>
      </c>
      <c r="Z6" s="94" t="s">
        <v>23</v>
      </c>
      <c r="AA6" s="94" t="s">
        <v>24</v>
      </c>
      <c r="AB6" s="94" t="s">
        <v>2</v>
      </c>
      <c r="AC6" s="94" t="s">
        <v>25</v>
      </c>
      <c r="AD6" s="94" t="s">
        <v>26</v>
      </c>
      <c r="AE6" s="94" t="s">
        <v>27</v>
      </c>
      <c r="AF6" s="94" t="s">
        <v>3</v>
      </c>
      <c r="AG6" s="94" t="s">
        <v>128</v>
      </c>
      <c r="AH6" s="94" t="s">
        <v>130</v>
      </c>
      <c r="AI6" s="94" t="s">
        <v>139</v>
      </c>
      <c r="AJ6" s="94" t="s">
        <v>141</v>
      </c>
    </row>
    <row r="7" spans="1:37" x14ac:dyDescent="0.3">
      <c r="A7" s="1">
        <v>2</v>
      </c>
      <c r="B7" s="3" t="s">
        <v>52</v>
      </c>
      <c r="C7" s="94"/>
      <c r="D7" s="94"/>
      <c r="E7" s="94"/>
      <c r="H7" s="3" t="s">
        <v>52</v>
      </c>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row>
    <row r="8" spans="1:37" x14ac:dyDescent="0.3">
      <c r="A8" s="1">
        <v>3</v>
      </c>
    </row>
    <row r="9" spans="1:37" x14ac:dyDescent="0.3">
      <c r="A9" s="1">
        <v>4</v>
      </c>
      <c r="B9" s="6" t="s">
        <v>136</v>
      </c>
      <c r="C9" s="9">
        <f>+HLOOKUP($C$6,$H$6:$AQ$18,A9,FALSE)</f>
        <v>766.85041991999992</v>
      </c>
      <c r="D9" s="9">
        <f>+HLOOKUP($D$6,$H$6:$AQ$18,A9,FALSE)</f>
        <v>938.64969842999994</v>
      </c>
      <c r="E9" s="38">
        <f>D9/C9-1</f>
        <v>0.22403231979441651</v>
      </c>
      <c r="H9" s="6" t="s">
        <v>121</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55"/>
    </row>
    <row r="10" spans="1:37" ht="8.25" customHeight="1" x14ac:dyDescent="0.3">
      <c r="A10" s="1">
        <v>5</v>
      </c>
      <c r="I10" s="22"/>
      <c r="J10" s="22"/>
      <c r="K10" s="22"/>
      <c r="L10" s="22"/>
      <c r="M10" s="22"/>
      <c r="N10" s="22"/>
      <c r="O10" s="22"/>
      <c r="P10" s="22"/>
      <c r="AK10" s="55"/>
    </row>
    <row r="11" spans="1:37" x14ac:dyDescent="0.3">
      <c r="A11" s="1">
        <v>6</v>
      </c>
      <c r="B11" s="5" t="s">
        <v>122</v>
      </c>
      <c r="C11" s="8">
        <f>+HLOOKUP($C$6,$H$6:$AI$18,A11,FALSE)</f>
        <v>128.99599999999998</v>
      </c>
      <c r="D11" s="8">
        <f>+HLOOKUP($D$6,$H$6:$AQ$18,A11,FALSE)</f>
        <v>139.4</v>
      </c>
      <c r="E11" s="36">
        <f>+D11/C11-1</f>
        <v>8.0653663679494114E-2</v>
      </c>
      <c r="H11" s="5" t="s">
        <v>122</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55"/>
    </row>
    <row r="12" spans="1:37" x14ac:dyDescent="0.3">
      <c r="A12" s="1">
        <v>7</v>
      </c>
      <c r="B12" s="5" t="s">
        <v>137</v>
      </c>
      <c r="C12" s="8">
        <f>+HLOOKUP($C$6,$H$6:$AQ$18,A12,FALSE)</f>
        <v>-124.13100000000001</v>
      </c>
      <c r="D12" s="8">
        <f>+HLOOKUP($D$6,$H$6:$AQ$18,A12,FALSE)</f>
        <v>-113.5</v>
      </c>
      <c r="E12" s="36">
        <f t="shared" ref="E12:E14" si="1">+D12/C12-1</f>
        <v>-8.5643392867213008E-2</v>
      </c>
      <c r="H12" s="5" t="s">
        <v>123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55"/>
    </row>
    <row r="13" spans="1:37" x14ac:dyDescent="0.3">
      <c r="A13" s="1">
        <v>8</v>
      </c>
      <c r="B13" s="5" t="s">
        <v>135</v>
      </c>
      <c r="C13" s="8">
        <f>+HLOOKUP($C$6,$H$6:$AQ$18,A13,FALSE)</f>
        <v>3.2630000000000008</v>
      </c>
      <c r="D13" s="8">
        <f>+HLOOKUP($D$6,$H$6:$AQ$18,A13,FALSE)</f>
        <v>-38.6</v>
      </c>
      <c r="E13" s="36">
        <f t="shared" si="1"/>
        <v>-12.829604658289915</v>
      </c>
      <c r="H13" s="5" t="s">
        <v>124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55"/>
    </row>
    <row r="14" spans="1:37" x14ac:dyDescent="0.3">
      <c r="A14" s="1">
        <v>9</v>
      </c>
      <c r="B14" s="20" t="s">
        <v>125</v>
      </c>
      <c r="C14" s="21">
        <f>+HLOOKUP($C$6,$H$6:$AQ$18,A14,FALSE)</f>
        <v>8.1279999999999681</v>
      </c>
      <c r="D14" s="21">
        <f>+HLOOKUP($D$6,$H$6:$AQ$18,A14,FALSE)</f>
        <v>-12.699999999999996</v>
      </c>
      <c r="E14" s="57">
        <f t="shared" si="1"/>
        <v>-2.5625000000000053</v>
      </c>
      <c r="H14" s="20" t="s">
        <v>125</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55"/>
    </row>
    <row r="15" spans="1:37" ht="8.25" customHeight="1" x14ac:dyDescent="0.3">
      <c r="A15" s="1">
        <v>10</v>
      </c>
      <c r="I15" s="22"/>
      <c r="J15" s="22"/>
      <c r="K15" s="22"/>
      <c r="L15" s="22"/>
      <c r="M15" s="22"/>
      <c r="N15" s="22"/>
      <c r="O15" s="22"/>
      <c r="P15" s="22"/>
      <c r="AK15" s="55"/>
    </row>
    <row r="16" spans="1:37" x14ac:dyDescent="0.3">
      <c r="A16" s="1">
        <v>11</v>
      </c>
      <c r="B16" s="5" t="s">
        <v>126</v>
      </c>
      <c r="C16" s="8">
        <f>+HLOOKUP($C$6,$H$6:$AQ$18,A16,FALSE)</f>
        <v>-1.4340000000000006</v>
      </c>
      <c r="D16" s="8">
        <f>+HLOOKUP($D$6,$H$6:$AQ$18,A16,FALSE)</f>
        <v>10.5</v>
      </c>
      <c r="E16" s="50" t="s">
        <v>44</v>
      </c>
      <c r="H16" s="5" t="s">
        <v>126</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55"/>
    </row>
    <row r="17" spans="1:37" ht="8.25" customHeight="1" x14ac:dyDescent="0.3">
      <c r="A17" s="1">
        <v>12</v>
      </c>
      <c r="I17" s="22"/>
      <c r="J17" s="22"/>
      <c r="K17" s="22"/>
      <c r="L17" s="22"/>
      <c r="M17" s="22"/>
      <c r="N17" s="22"/>
      <c r="O17" s="22"/>
      <c r="P17" s="22"/>
      <c r="AK17" s="55"/>
    </row>
    <row r="18" spans="1:37" x14ac:dyDescent="0.3">
      <c r="A18" s="1">
        <v>13</v>
      </c>
      <c r="B18" s="6" t="s">
        <v>127</v>
      </c>
      <c r="C18" s="9">
        <f>+HLOOKUP($C$6,$H$6:$AQ$18,A18,FALSE)</f>
        <v>773.54441991999988</v>
      </c>
      <c r="D18" s="9">
        <f>+HLOOKUP($D$6,$H$6:$AQ$18,A18,FALSE)</f>
        <v>936.4496984299999</v>
      </c>
      <c r="E18" s="11">
        <f>D18/C18-1</f>
        <v>0.21059589380380728</v>
      </c>
      <c r="H18" s="6" t="s">
        <v>127</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55"/>
    </row>
    <row r="23" spans="1:37" ht="23.25" x14ac:dyDescent="0.35">
      <c r="B23" s="12" t="s">
        <v>46</v>
      </c>
      <c r="C23" s="13"/>
      <c r="D23" s="13"/>
      <c r="E23" s="13"/>
      <c r="H23" s="12" t="s">
        <v>46</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row>
    <row r="25" spans="1:37" x14ac:dyDescent="0.3">
      <c r="A25" s="1">
        <v>1</v>
      </c>
      <c r="B25" s="3" t="s">
        <v>120</v>
      </c>
      <c r="C25" s="94" t="s">
        <v>3</v>
      </c>
      <c r="D25" s="94" t="s">
        <v>141</v>
      </c>
      <c r="E25" s="94" t="s">
        <v>4</v>
      </c>
      <c r="H25" s="3" t="s">
        <v>120</v>
      </c>
      <c r="I25" s="94" t="s">
        <v>6</v>
      </c>
      <c r="J25" s="94" t="s">
        <v>7</v>
      </c>
      <c r="K25" s="94" t="s">
        <v>8</v>
      </c>
      <c r="L25" s="94" t="s">
        <v>9</v>
      </c>
      <c r="M25" s="94" t="s">
        <v>10</v>
      </c>
      <c r="N25" s="94" t="s">
        <v>11</v>
      </c>
      <c r="O25" s="94" t="s">
        <v>12</v>
      </c>
      <c r="P25" s="94" t="s">
        <v>13</v>
      </c>
      <c r="Q25" s="94" t="s">
        <v>14</v>
      </c>
      <c r="R25" s="94" t="s">
        <v>15</v>
      </c>
      <c r="S25" s="94" t="s">
        <v>16</v>
      </c>
      <c r="T25" s="94" t="s">
        <v>17</v>
      </c>
      <c r="U25" s="94" t="s">
        <v>18</v>
      </c>
      <c r="V25" s="94" t="s">
        <v>19</v>
      </c>
      <c r="W25" s="94" t="s">
        <v>20</v>
      </c>
      <c r="X25" s="94" t="s">
        <v>21</v>
      </c>
      <c r="Y25" s="94" t="s">
        <v>22</v>
      </c>
      <c r="Z25" s="94" t="s">
        <v>23</v>
      </c>
      <c r="AA25" s="94" t="s">
        <v>24</v>
      </c>
      <c r="AB25" s="94" t="s">
        <v>2</v>
      </c>
      <c r="AC25" s="94" t="s">
        <v>25</v>
      </c>
      <c r="AD25" s="94" t="s">
        <v>26</v>
      </c>
      <c r="AE25" s="94" t="s">
        <v>27</v>
      </c>
      <c r="AF25" s="94" t="s">
        <v>3</v>
      </c>
      <c r="AG25" s="94" t="s">
        <v>128</v>
      </c>
      <c r="AH25" s="94" t="s">
        <v>130</v>
      </c>
      <c r="AI25" s="94" t="s">
        <v>139</v>
      </c>
      <c r="AJ25" s="94" t="s">
        <v>141</v>
      </c>
    </row>
    <row r="26" spans="1:37" x14ac:dyDescent="0.3">
      <c r="A26" s="1">
        <v>2</v>
      </c>
      <c r="B26" s="3" t="s">
        <v>52</v>
      </c>
      <c r="C26" s="94"/>
      <c r="D26" s="94"/>
      <c r="E26" s="94"/>
      <c r="H26" s="3" t="s">
        <v>52</v>
      </c>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row>
    <row r="27" spans="1:37" x14ac:dyDescent="0.3">
      <c r="A27" s="1">
        <v>3</v>
      </c>
    </row>
    <row r="28" spans="1:37" x14ac:dyDescent="0.3">
      <c r="A28" s="1">
        <v>4</v>
      </c>
      <c r="B28" s="6" t="s">
        <v>136</v>
      </c>
      <c r="C28" s="9">
        <f>+HLOOKUP($C$25,$H$25:$AQ$37,A28,FALSE)</f>
        <v>13.370700000000005</v>
      </c>
      <c r="D28" s="9">
        <f>+HLOOKUP($D$25,$H$25:$AQ$37,A28,FALSE)</f>
        <v>27.37070000000001</v>
      </c>
      <c r="E28" s="38">
        <f>D28/C28-1</f>
        <v>1.0470655986597559</v>
      </c>
      <c r="H28" s="6" t="s">
        <v>121</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row>
    <row r="29" spans="1:37" ht="8.25" customHeight="1" x14ac:dyDescent="0.3">
      <c r="A29" s="1">
        <v>5</v>
      </c>
      <c r="I29" s="22"/>
      <c r="J29" s="22"/>
      <c r="K29" s="22"/>
      <c r="L29" s="22"/>
      <c r="M29" s="22"/>
      <c r="N29" s="22"/>
      <c r="O29" s="22"/>
      <c r="P29" s="22"/>
    </row>
    <row r="30" spans="1:37" x14ac:dyDescent="0.3">
      <c r="A30" s="1">
        <v>6</v>
      </c>
      <c r="B30" s="5" t="s">
        <v>122</v>
      </c>
      <c r="C30" s="8">
        <f>+HLOOKUP($C$25,$H$25:$AQ$37,A30,FALSE)</f>
        <v>18</v>
      </c>
      <c r="D30" s="8">
        <f>+HLOOKUP($D$25,$H$25:$AQ$37,A30,FALSE)</f>
        <v>9.5</v>
      </c>
      <c r="E30" s="37">
        <f>+D30/C30-1</f>
        <v>-0.47222222222222221</v>
      </c>
      <c r="H30" s="5" t="s">
        <v>122</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row>
    <row r="31" spans="1:37" x14ac:dyDescent="0.3">
      <c r="A31" s="1">
        <v>7</v>
      </c>
      <c r="B31" s="5" t="s">
        <v>138</v>
      </c>
      <c r="C31" s="8">
        <f>+HLOOKUP($C$25,$H$25:$AQ$37,A31,FALSE)</f>
        <v>-4.3</v>
      </c>
      <c r="D31" s="8">
        <f>+HLOOKUP($D$25,$H$25:$AQ$37,A31,FALSE)</f>
        <v>-5.7</v>
      </c>
      <c r="E31" s="37">
        <f>+D31/C31-1</f>
        <v>0.32558139534883734</v>
      </c>
      <c r="H31" s="5" t="s">
        <v>123</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row>
    <row r="32" spans="1:37" x14ac:dyDescent="0.3">
      <c r="A32" s="1">
        <v>8</v>
      </c>
      <c r="B32" s="5" t="s">
        <v>124</v>
      </c>
      <c r="C32" s="8">
        <f>+HLOOKUP($C$25,$H$25:$AQ$37,A32,FALSE)</f>
        <v>-3.8</v>
      </c>
      <c r="D32" s="8">
        <f>+HLOOKUP($D$25,$H$25:$AQ$37,A32,FALSE)</f>
        <v>-0.1</v>
      </c>
      <c r="E32" s="37" t="s">
        <v>44</v>
      </c>
      <c r="H32" s="5" t="s">
        <v>124</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row>
    <row r="33" spans="1:36" x14ac:dyDescent="0.3">
      <c r="A33" s="1">
        <v>9</v>
      </c>
      <c r="B33" s="20" t="s">
        <v>125</v>
      </c>
      <c r="C33" s="21">
        <f>+HLOOKUP($C$25,$H$25:$AQ$37,A33,FALSE)</f>
        <v>9.8999999999999986</v>
      </c>
      <c r="D33" s="21">
        <f>+HLOOKUP($D$25,$H$25:$AQ$37,A33,FALSE)</f>
        <v>3.6999999999999997</v>
      </c>
      <c r="E33" s="57" t="s">
        <v>44</v>
      </c>
      <c r="H33" s="20" t="s">
        <v>125</v>
      </c>
      <c r="I33" s="23"/>
      <c r="J33" s="23"/>
      <c r="K33" s="23"/>
      <c r="L33" s="23"/>
      <c r="M33" s="23"/>
      <c r="N33" s="23"/>
      <c r="O33" s="23"/>
      <c r="P33" s="23"/>
      <c r="Q33" s="21">
        <v>-3.0490999999999984</v>
      </c>
      <c r="R33" s="21">
        <v>0.96990000000000065</v>
      </c>
      <c r="S33" s="21">
        <f t="shared" ref="S33" si="12">SUM(S30:S32)</f>
        <v>2.633999999999999</v>
      </c>
      <c r="T33" s="21">
        <f t="shared" ref="T33" si="13">SUM(T30:T32)</f>
        <v>-20.722499999999997</v>
      </c>
      <c r="U33" s="21">
        <f t="shared" ref="U33" si="14">SUM(U30:U32)</f>
        <v>16.568999999999999</v>
      </c>
      <c r="V33" s="21">
        <f t="shared" ref="V33:X33" si="15">SUM(V30:V32)</f>
        <v>-1.1770000000000018</v>
      </c>
      <c r="W33" s="21">
        <f t="shared" si="15"/>
        <v>6.6410000000000009</v>
      </c>
      <c r="X33" s="21">
        <f t="shared" si="15"/>
        <v>11.280999999999999</v>
      </c>
      <c r="Y33" s="21">
        <f>SUM(Y30:Y32)</f>
        <v>-10.9</v>
      </c>
      <c r="Z33" s="21">
        <v>12.5</v>
      </c>
      <c r="AA33" s="21">
        <v>-5.9</v>
      </c>
      <c r="AB33" s="21">
        <f t="shared" ref="AB33:AJ33" si="16">+AB30+AB31+AB32</f>
        <v>-22.186</v>
      </c>
      <c r="AC33" s="21">
        <f t="shared" si="16"/>
        <v>-11</v>
      </c>
      <c r="AD33" s="21">
        <f t="shared" si="16"/>
        <v>4.3000000000000007</v>
      </c>
      <c r="AE33" s="21">
        <f t="shared" si="16"/>
        <v>-3.7999999999999994</v>
      </c>
      <c r="AF33" s="21">
        <f t="shared" si="16"/>
        <v>9.8999999999999986</v>
      </c>
      <c r="AG33" s="21">
        <f t="shared" si="16"/>
        <v>5.5</v>
      </c>
      <c r="AH33" s="21">
        <f t="shared" si="16"/>
        <v>12.500000000000002</v>
      </c>
      <c r="AI33" s="21">
        <f t="shared" si="16"/>
        <v>-13.299999999999997</v>
      </c>
      <c r="AJ33" s="21">
        <f t="shared" si="16"/>
        <v>3.6999999999999997</v>
      </c>
    </row>
    <row r="34" spans="1:36" ht="8.25" customHeight="1" x14ac:dyDescent="0.3">
      <c r="A34" s="1">
        <v>10</v>
      </c>
      <c r="I34" s="22"/>
      <c r="J34" s="22"/>
      <c r="K34" s="22"/>
      <c r="L34" s="22"/>
      <c r="M34" s="22"/>
      <c r="N34" s="22"/>
      <c r="O34" s="22"/>
      <c r="P34" s="22"/>
    </row>
    <row r="35" spans="1:36" x14ac:dyDescent="0.3">
      <c r="A35" s="1">
        <v>11</v>
      </c>
      <c r="B35" s="5" t="s">
        <v>126</v>
      </c>
      <c r="C35" s="8">
        <f>+HLOOKUP($C$25,$H$25:$AQ$37,A35,FALSE)</f>
        <v>0.5</v>
      </c>
      <c r="D35" s="8">
        <f>+HLOOKUP($D$25,$H$25:$AQ$37,A35,FALSE)</f>
        <v>-0.1</v>
      </c>
      <c r="E35" s="37">
        <f>+D35/C35-1</f>
        <v>-1.2</v>
      </c>
      <c r="H35" s="5" t="s">
        <v>126</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row>
    <row r="36" spans="1:36" ht="8.25" customHeight="1" x14ac:dyDescent="0.3">
      <c r="A36" s="1">
        <v>12</v>
      </c>
      <c r="I36" s="22"/>
      <c r="J36" s="22"/>
      <c r="K36" s="22"/>
      <c r="L36" s="22"/>
      <c r="M36" s="22"/>
      <c r="N36" s="22"/>
      <c r="O36" s="22"/>
      <c r="P36" s="22"/>
    </row>
    <row r="37" spans="1:36" x14ac:dyDescent="0.3">
      <c r="A37" s="1">
        <v>13</v>
      </c>
      <c r="B37" s="6" t="s">
        <v>127</v>
      </c>
      <c r="C37" s="9">
        <f>+HLOOKUP($C$25,$H$25:$AQ$37,A37,FALSE)</f>
        <v>23.770700000000005</v>
      </c>
      <c r="D37" s="9">
        <f>+HLOOKUP($D$25,$H$25:$AQ$37,A37,FALSE)</f>
        <v>30.970700000000008</v>
      </c>
      <c r="E37" s="38">
        <f>D37/C37-1</f>
        <v>0.30289389879136919</v>
      </c>
      <c r="H37" s="6" t="s">
        <v>127</v>
      </c>
      <c r="I37" s="19"/>
      <c r="J37" s="19"/>
      <c r="K37" s="19"/>
      <c r="L37" s="19"/>
      <c r="M37" s="19"/>
      <c r="N37" s="19"/>
      <c r="O37" s="19"/>
      <c r="P37" s="19"/>
      <c r="Q37" s="9">
        <f t="shared" ref="Q37:X37" si="17">Q35+Q33+Q28</f>
        <v>39.150300000000001</v>
      </c>
      <c r="R37" s="9">
        <f t="shared" si="17"/>
        <v>40.120200000000004</v>
      </c>
      <c r="S37" s="9">
        <f t="shared" si="17"/>
        <v>42.754200000000004</v>
      </c>
      <c r="T37" s="9">
        <f t="shared" si="17"/>
        <v>22.031700000000008</v>
      </c>
      <c r="U37" s="9">
        <f t="shared" si="17"/>
        <v>38.978700000000003</v>
      </c>
      <c r="V37" s="9">
        <f t="shared" si="17"/>
        <v>37.817700000000002</v>
      </c>
      <c r="W37" s="9">
        <f t="shared" si="17"/>
        <v>43.233699999999999</v>
      </c>
      <c r="X37" s="9">
        <f t="shared" si="17"/>
        <v>52.870699999999999</v>
      </c>
      <c r="Y37" s="9">
        <f>Y35+Y33+Y28</f>
        <v>40.570700000000002</v>
      </c>
      <c r="Z37" s="9">
        <f>Z35+Z33+Z28</f>
        <v>52.370699999999999</v>
      </c>
      <c r="AA37" s="9">
        <f>AA35+AA33+AA28</f>
        <v>46.370699999999999</v>
      </c>
      <c r="AB37" s="9">
        <f t="shared" ref="AB37:AH37" si="18">+AB28+AB33+AB35</f>
        <v>23.706199999999999</v>
      </c>
      <c r="AC37" s="9">
        <f t="shared" si="18"/>
        <v>12.970700000000004</v>
      </c>
      <c r="AD37" s="9">
        <f t="shared" si="18"/>
        <v>17.470700000000004</v>
      </c>
      <c r="AE37" s="9">
        <f t="shared" si="18"/>
        <v>13.370700000000005</v>
      </c>
      <c r="AF37" s="9">
        <f t="shared" si="18"/>
        <v>23.770700000000005</v>
      </c>
      <c r="AG37" s="9">
        <f t="shared" si="18"/>
        <v>28.670700000000004</v>
      </c>
      <c r="AH37" s="9">
        <f t="shared" si="18"/>
        <v>40.970700000000001</v>
      </c>
      <c r="AI37" s="9">
        <f>+AI28+AI33+AI35</f>
        <v>27.370700000000003</v>
      </c>
      <c r="AJ37" s="9">
        <f>+AJ28+AJ33+AJ35</f>
        <v>30.970700000000008</v>
      </c>
    </row>
    <row r="40" spans="1:36" ht="93.75" customHeight="1" x14ac:dyDescent="0.3">
      <c r="B40" s="97" t="s">
        <v>134</v>
      </c>
      <c r="C40" s="100"/>
      <c r="D40" s="100"/>
      <c r="E40" s="100"/>
    </row>
  </sheetData>
  <mergeCells count="63">
    <mergeCell ref="B40:E40"/>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I25:I26"/>
    <mergeCell ref="J25:J26"/>
    <mergeCell ref="AJ6:AJ7"/>
    <mergeCell ref="AJ25:AJ26"/>
    <mergeCell ref="I6:I7"/>
    <mergeCell ref="J6:J7"/>
    <mergeCell ref="K6:K7"/>
    <mergeCell ref="L6:L7"/>
    <mergeCell ref="M6:M7"/>
    <mergeCell ref="P25:P26"/>
    <mergeCell ref="Q25:Q26"/>
    <mergeCell ref="R25:R26"/>
    <mergeCell ref="K25:K26"/>
    <mergeCell ref="L25:L26"/>
    <mergeCell ref="M25:M26"/>
    <mergeCell ref="N25:N26"/>
    <mergeCell ref="C6:C7"/>
    <mergeCell ref="D6:D7"/>
    <mergeCell ref="E6:E7"/>
    <mergeCell ref="C25:C26"/>
    <mergeCell ref="D25:D26"/>
    <mergeCell ref="E25:E26"/>
    <mergeCell ref="O25:O26"/>
    <mergeCell ref="N6:N7"/>
    <mergeCell ref="O6:O7"/>
    <mergeCell ref="P6:P7"/>
    <mergeCell ref="Q6:Q7"/>
    <mergeCell ref="Z6:Z7"/>
    <mergeCell ref="Z25:Z26"/>
    <mergeCell ref="AD25:AD26"/>
    <mergeCell ref="R6:R7"/>
    <mergeCell ref="S6:S7"/>
    <mergeCell ref="T6:T7"/>
    <mergeCell ref="U6:U7"/>
    <mergeCell ref="V6:V7"/>
    <mergeCell ref="S25:S26"/>
    <mergeCell ref="T25:T26"/>
    <mergeCell ref="AI6:AI7"/>
    <mergeCell ref="AI25:AI26"/>
    <mergeCell ref="AH6:AH7"/>
    <mergeCell ref="AH25:AH26"/>
    <mergeCell ref="AA6:AA7"/>
    <mergeCell ref="AA25:AA26"/>
    <mergeCell ref="U25:U26"/>
    <mergeCell ref="W25:W26"/>
    <mergeCell ref="V25:V26"/>
    <mergeCell ref="X6:X7"/>
    <mergeCell ref="X25:X26"/>
    <mergeCell ref="W6:W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af28b929-2fa0-4937-be7e-13907b45f7fc"/>
    <ds:schemaRef ds:uri="http://schemas.microsoft.com/office/2006/metadata/properties"/>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2021-02-02T21:16:37Z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