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mc:AlternateContent xmlns:mc="http://schemas.openxmlformats.org/markup-compatibility/2006">
    <mc:Choice Requires="x15">
      <x15ac:absPath xmlns:x15ac="http://schemas.microsoft.com/office/spreadsheetml/2010/11/ac" url="https://colbun-my.sharepoint.com/personal/izaldivar_colbun_cl/Documents/RESPALDO IZ/Datos Financieros Pagina Web/1Q21/"/>
    </mc:Choice>
  </mc:AlternateContent>
  <xr:revisionPtr revIDLastSave="471" documentId="13_ncr:1_{D5C2D57B-CF40-40CA-943F-12F5B7EA17B4}" xr6:coauthVersionLast="46" xr6:coauthVersionMax="46" xr10:uidLastSave="{E6CAD8D2-B657-4DD6-B103-98A8948DB908}"/>
  <bookViews>
    <workbookView xWindow="28680" yWindow="-120" windowWidth="29040" windowHeight="15840" tabRatio="723" xr2:uid="{00000000-000D-0000-FFFF-FFFF00000000}"/>
  </bookViews>
  <sheets>
    <sheet name="Physical Sales &amp; Gx." sheetId="6" r:id="rId1"/>
    <sheet name="Income Statement" sheetId="1" r:id="rId2"/>
    <sheet name="Operating Income" sheetId="2" r:id="rId3"/>
    <sheet name="Non-Operating Income" sheetId="3" r:id="rId4"/>
    <sheet name="Balance Sheet" sheetId="4" r:id="rId5"/>
    <sheet name="Main Debt Items" sheetId="7" r:id="rId6"/>
    <sheet name="Amortization Profile" sheetId="8" r:id="rId7"/>
    <sheet name="Cash Flow" sheetId="5" r:id="rId8"/>
  </sheets>
  <externalReferences>
    <externalReference r:id="rId9"/>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J13" i="7" l="1"/>
  <c r="AJ12" i="7"/>
  <c r="AJ11" i="7"/>
  <c r="AJ10" i="7"/>
  <c r="AJ9" i="7"/>
  <c r="AK18" i="5" l="1"/>
  <c r="AK16" i="5"/>
  <c r="AK13" i="5"/>
  <c r="AK12" i="5"/>
  <c r="AK11" i="5"/>
  <c r="AK9" i="5"/>
  <c r="AK37" i="5"/>
  <c r="AK33" i="5"/>
  <c r="AJ9" i="5"/>
  <c r="AJ18" i="5"/>
  <c r="AK27" i="2"/>
  <c r="AK23" i="2"/>
  <c r="AK22" i="2"/>
  <c r="AK14" i="5" l="1"/>
  <c r="AJ27" i="7" l="1"/>
  <c r="AJ25" i="7"/>
  <c r="AI25" i="7"/>
  <c r="C37" i="4"/>
  <c r="C35" i="4"/>
  <c r="C34" i="4"/>
  <c r="C33" i="4"/>
  <c r="C32" i="4"/>
  <c r="C31" i="4"/>
  <c r="C30" i="4"/>
  <c r="C29" i="4"/>
  <c r="C28" i="4"/>
  <c r="D37" i="4"/>
  <c r="D35" i="4"/>
  <c r="D34" i="4"/>
  <c r="D33" i="4"/>
  <c r="D31" i="4"/>
  <c r="D29" i="4"/>
  <c r="D28" i="4"/>
  <c r="Y16" i="4"/>
  <c r="Y15" i="4"/>
  <c r="Y14" i="4"/>
  <c r="Y10" i="4"/>
  <c r="Y9" i="4"/>
  <c r="Y37" i="4"/>
  <c r="Y31" i="4"/>
  <c r="AK47" i="3"/>
  <c r="AK21" i="3"/>
  <c r="AK19" i="3"/>
  <c r="AG15" i="3"/>
  <c r="AK17" i="3"/>
  <c r="AK15" i="3"/>
  <c r="AK13" i="3"/>
  <c r="AK11" i="3"/>
  <c r="AK10" i="3"/>
  <c r="AK9" i="3"/>
  <c r="AK44" i="3"/>
  <c r="AK38" i="3"/>
  <c r="AG17" i="3"/>
  <c r="C10" i="2"/>
  <c r="AK29" i="2"/>
  <c r="AK28" i="2"/>
  <c r="AK20" i="2"/>
  <c r="AK19" i="2"/>
  <c r="AK18" i="2"/>
  <c r="AK10" i="2"/>
  <c r="AK15" i="2"/>
  <c r="AK14" i="2"/>
  <c r="AK13" i="2"/>
  <c r="AK12" i="2"/>
  <c r="AK11" i="2"/>
  <c r="C63" i="2"/>
  <c r="AK70" i="2"/>
  <c r="AK77" i="2" s="1"/>
  <c r="AK83" i="2" s="1"/>
  <c r="AK85" i="2" s="1"/>
  <c r="AK33" i="2" s="1"/>
  <c r="AK63" i="2"/>
  <c r="Y43" i="1"/>
  <c r="Y39" i="1"/>
  <c r="Y37" i="1"/>
  <c r="Y29" i="1"/>
  <c r="Y27" i="1"/>
  <c r="Y21" i="1"/>
  <c r="Y13" i="1"/>
  <c r="Y9" i="1"/>
  <c r="E13" i="6"/>
  <c r="AK17" i="6"/>
  <c r="C11" i="6"/>
  <c r="AK51" i="6"/>
  <c r="AH46" i="6"/>
  <c r="AI46" i="6"/>
  <c r="AJ46" i="6"/>
  <c r="AK46" i="6"/>
  <c r="AH39" i="6"/>
  <c r="AI39" i="6"/>
  <c r="AJ39" i="6"/>
  <c r="AK39" i="6"/>
  <c r="Y18" i="4" l="1"/>
  <c r="Y12" i="4"/>
  <c r="AK24" i="6" l="1"/>
  <c r="AK29" i="6"/>
  <c r="AH24" i="6"/>
  <c r="AI24" i="6"/>
  <c r="AI17" i="6" s="1"/>
  <c r="AJ24" i="6"/>
  <c r="AH20" i="6"/>
  <c r="AI20" i="6"/>
  <c r="AJ20" i="6"/>
  <c r="AK20" i="6"/>
  <c r="AH9" i="6"/>
  <c r="AI9" i="6"/>
  <c r="AJ9" i="6"/>
  <c r="AK9" i="6"/>
  <c r="D10" i="2"/>
  <c r="AI21" i="3"/>
  <c r="AI23" i="3"/>
  <c r="AI47" i="3"/>
  <c r="S47" i="3"/>
  <c r="T47" i="3"/>
  <c r="R47" i="3"/>
  <c r="Q47" i="3"/>
  <c r="AJ37" i="5"/>
  <c r="AJ16" i="5"/>
  <c r="AJ13" i="5"/>
  <c r="AJ12" i="5"/>
  <c r="AJ11" i="5"/>
  <c r="AJ33" i="5"/>
  <c r="AI12" i="7"/>
  <c r="AI24" i="7"/>
  <c r="AI10" i="7" s="1"/>
  <c r="C10" i="7" s="1"/>
  <c r="AI23" i="7"/>
  <c r="X16" i="4"/>
  <c r="X15" i="4"/>
  <c r="X14" i="4"/>
  <c r="X10" i="4"/>
  <c r="X9" i="4"/>
  <c r="X37" i="4"/>
  <c r="X31" i="4"/>
  <c r="AI9" i="7"/>
  <c r="AI11" i="7" s="1"/>
  <c r="AI27" i="7"/>
  <c r="C27" i="7" s="1"/>
  <c r="X18" i="4"/>
  <c r="X12" i="4"/>
  <c r="AJ19" i="3"/>
  <c r="AJ17" i="3"/>
  <c r="AJ21" i="3" s="1"/>
  <c r="D21" i="3" s="1"/>
  <c r="AJ13" i="3"/>
  <c r="AJ11" i="3"/>
  <c r="AJ15" i="3" s="1"/>
  <c r="D15" i="3" s="1"/>
  <c r="AJ10" i="3"/>
  <c r="AJ9" i="3"/>
  <c r="AJ44" i="3"/>
  <c r="AJ47" i="3" s="1"/>
  <c r="AJ38" i="3"/>
  <c r="E11" i="2"/>
  <c r="E12" i="2"/>
  <c r="E13" i="2"/>
  <c r="AJ29" i="2"/>
  <c r="AJ28" i="2"/>
  <c r="AJ27" i="2"/>
  <c r="AJ22" i="2"/>
  <c r="AJ23" i="2"/>
  <c r="AJ20" i="2"/>
  <c r="AJ19" i="2"/>
  <c r="AJ18" i="2"/>
  <c r="AJ15" i="2"/>
  <c r="AJ13" i="2"/>
  <c r="AJ12" i="2"/>
  <c r="AJ10" i="2"/>
  <c r="AJ11" i="2"/>
  <c r="AJ70" i="2"/>
  <c r="AJ77" i="2" s="1"/>
  <c r="AJ83" i="2" s="1"/>
  <c r="AJ63" i="2"/>
  <c r="U37" i="1"/>
  <c r="V37" i="1"/>
  <c r="W37" i="1"/>
  <c r="X37" i="1"/>
  <c r="V21" i="1"/>
  <c r="V29" i="1" s="1"/>
  <c r="U13" i="1"/>
  <c r="V13" i="1"/>
  <c r="W13" i="1"/>
  <c r="X13" i="1"/>
  <c r="X9" i="1"/>
  <c r="X21" i="1" s="1"/>
  <c r="AJ51" i="6"/>
  <c r="AJ29" i="6"/>
  <c r="AJ17" i="6"/>
  <c r="AB70" i="2"/>
  <c r="AB21" i="2"/>
  <c r="AB23" i="2"/>
  <c r="AB20" i="2"/>
  <c r="AB19" i="2"/>
  <c r="AB18" i="2"/>
  <c r="AB15" i="2"/>
  <c r="AB13" i="2"/>
  <c r="AB12" i="2"/>
  <c r="AB10" i="2" s="1"/>
  <c r="AB11" i="2"/>
  <c r="AD20" i="2"/>
  <c r="AD19" i="2"/>
  <c r="AD23" i="2"/>
  <c r="AD18" i="2"/>
  <c r="AE9" i="5"/>
  <c r="J9" i="5"/>
  <c r="K9" i="5"/>
  <c r="L9" i="5"/>
  <c r="M9" i="5"/>
  <c r="N9" i="5"/>
  <c r="O9" i="5"/>
  <c r="P9" i="5"/>
  <c r="Q9" i="5"/>
  <c r="R9" i="5"/>
  <c r="S9" i="5"/>
  <c r="T9" i="5"/>
  <c r="U9" i="5"/>
  <c r="AE9" i="3"/>
  <c r="AI11" i="2"/>
  <c r="O29" i="1"/>
  <c r="AI16" i="5"/>
  <c r="AI13" i="5"/>
  <c r="AI12" i="5"/>
  <c r="AI11" i="5"/>
  <c r="AI14" i="5" s="1"/>
  <c r="AI33" i="5"/>
  <c r="AH10" i="7"/>
  <c r="AH9" i="7"/>
  <c r="AH11" i="7" s="1"/>
  <c r="W37" i="4"/>
  <c r="W16" i="4"/>
  <c r="W15" i="4"/>
  <c r="W14" i="4"/>
  <c r="W18" i="4" s="1"/>
  <c r="W10" i="4"/>
  <c r="W9" i="4"/>
  <c r="W31" i="4"/>
  <c r="W12" i="4"/>
  <c r="AI17" i="3"/>
  <c r="AI10" i="3"/>
  <c r="AI13" i="3"/>
  <c r="AI11" i="3"/>
  <c r="AI9" i="3"/>
  <c r="AI15" i="3" s="1"/>
  <c r="AI38" i="3"/>
  <c r="AH17" i="3"/>
  <c r="AI33" i="2"/>
  <c r="AI29" i="2"/>
  <c r="AI28" i="2"/>
  <c r="AI27" i="2"/>
  <c r="AI22" i="2"/>
  <c r="AI20" i="2"/>
  <c r="AI19" i="2"/>
  <c r="AI18" i="2"/>
  <c r="AI17" i="2" s="1"/>
  <c r="AI25" i="2" s="1"/>
  <c r="AI15" i="2"/>
  <c r="AI13" i="2"/>
  <c r="AI12" i="2"/>
  <c r="AI83" i="2"/>
  <c r="AI70" i="2"/>
  <c r="AI63" i="2"/>
  <c r="W9" i="1"/>
  <c r="W21" i="1" s="1"/>
  <c r="AI51" i="6"/>
  <c r="AI29" i="6"/>
  <c r="AI10" i="2"/>
  <c r="AH12" i="5"/>
  <c r="AH11" i="5"/>
  <c r="AH16" i="5"/>
  <c r="AH13" i="5"/>
  <c r="AH14" i="5" s="1"/>
  <c r="AH33" i="5"/>
  <c r="AG10" i="7"/>
  <c r="AG11" i="7"/>
  <c r="AG9" i="7"/>
  <c r="AG25" i="7"/>
  <c r="V16" i="4"/>
  <c r="V15" i="4"/>
  <c r="V14" i="4"/>
  <c r="V18" i="4" s="1"/>
  <c r="V10" i="4"/>
  <c r="V9" i="4"/>
  <c r="V12" i="4" s="1"/>
  <c r="V37" i="4"/>
  <c r="V31" i="4"/>
  <c r="C47" i="3"/>
  <c r="AH46" i="3"/>
  <c r="AH21" i="3"/>
  <c r="AH13" i="3"/>
  <c r="AH11" i="3"/>
  <c r="AH10" i="3"/>
  <c r="AH9" i="3"/>
  <c r="AH38" i="3"/>
  <c r="AH15" i="3"/>
  <c r="E41" i="2"/>
  <c r="AH33" i="2"/>
  <c r="AH29" i="2"/>
  <c r="AH28" i="2"/>
  <c r="AH27" i="2"/>
  <c r="AH23" i="2"/>
  <c r="AH17" i="2" s="1"/>
  <c r="AH25" i="2" s="1"/>
  <c r="AH21" i="2"/>
  <c r="AH20" i="2"/>
  <c r="AH19" i="2"/>
  <c r="AH18" i="2"/>
  <c r="AH15" i="2"/>
  <c r="AH13" i="2"/>
  <c r="AH12" i="2"/>
  <c r="AH11" i="2"/>
  <c r="AH10" i="2"/>
  <c r="AH70" i="2"/>
  <c r="AH77" i="2" s="1"/>
  <c r="AH83" i="2" s="1"/>
  <c r="AH63" i="2"/>
  <c r="V9" i="1"/>
  <c r="AH51" i="6"/>
  <c r="AH29" i="6"/>
  <c r="AH17" i="6"/>
  <c r="U46" i="3"/>
  <c r="U21" i="3"/>
  <c r="V46" i="3"/>
  <c r="W46" i="3"/>
  <c r="X46" i="3"/>
  <c r="Y46" i="3"/>
  <c r="Z46" i="3"/>
  <c r="AA46" i="3"/>
  <c r="V21" i="3"/>
  <c r="W21" i="3"/>
  <c r="X21" i="3"/>
  <c r="Y21" i="3"/>
  <c r="Z21" i="3"/>
  <c r="AA21" i="3"/>
  <c r="AD21" i="3"/>
  <c r="AF21" i="3"/>
  <c r="AF23" i="2"/>
  <c r="AF17" i="2" s="1"/>
  <c r="AF25" i="2" s="1"/>
  <c r="AF31" i="2" s="1"/>
  <c r="AF33" i="2" s="1"/>
  <c r="AF21" i="2"/>
  <c r="AF20" i="2"/>
  <c r="AF19" i="2"/>
  <c r="AF18" i="2"/>
  <c r="AF15" i="2"/>
  <c r="AF14" i="2"/>
  <c r="AF13" i="2"/>
  <c r="AF12" i="2"/>
  <c r="AF11" i="2"/>
  <c r="AF10" i="2"/>
  <c r="R46" i="3"/>
  <c r="S46" i="3"/>
  <c r="T46" i="3"/>
  <c r="Q46" i="3"/>
  <c r="AG12" i="2"/>
  <c r="AG11" i="2"/>
  <c r="AG13" i="2"/>
  <c r="C46" i="1"/>
  <c r="AG39" i="6"/>
  <c r="D39" i="6"/>
  <c r="AG16" i="5"/>
  <c r="AG13" i="5"/>
  <c r="AG12" i="5"/>
  <c r="AG11" i="5"/>
  <c r="AG14" i="5" s="1"/>
  <c r="AG33" i="5"/>
  <c r="AF10" i="7"/>
  <c r="AF9" i="7"/>
  <c r="AF25" i="7"/>
  <c r="AF27" i="7" s="1"/>
  <c r="U16" i="4"/>
  <c r="U15" i="4"/>
  <c r="U14" i="4"/>
  <c r="U18" i="4"/>
  <c r="U10" i="4"/>
  <c r="U9" i="4"/>
  <c r="U12" i="4"/>
  <c r="U37" i="4"/>
  <c r="U31" i="4"/>
  <c r="AG21" i="3"/>
  <c r="AC17" i="3"/>
  <c r="AC21" i="3" s="1"/>
  <c r="AC13" i="3"/>
  <c r="AC11" i="3"/>
  <c r="AC10" i="3"/>
  <c r="AC9" i="3"/>
  <c r="AC15" i="3"/>
  <c r="AD44" i="3"/>
  <c r="AD46" i="3"/>
  <c r="AE44" i="3"/>
  <c r="AE46" i="3"/>
  <c r="AF44" i="3"/>
  <c r="AF46" i="3" s="1"/>
  <c r="C46" i="3" s="1"/>
  <c r="AG44" i="3"/>
  <c r="AG46" i="3"/>
  <c r="AD38" i="3"/>
  <c r="AE38" i="3"/>
  <c r="AF38" i="3"/>
  <c r="AG38" i="3"/>
  <c r="AF11" i="7"/>
  <c r="AD15" i="3"/>
  <c r="AG29" i="2"/>
  <c r="AG28" i="2"/>
  <c r="AG27" i="2"/>
  <c r="AC29" i="2"/>
  <c r="AC28" i="2"/>
  <c r="AC27" i="2"/>
  <c r="AG23" i="2"/>
  <c r="AG20" i="2"/>
  <c r="AG21" i="2"/>
  <c r="AG19" i="2"/>
  <c r="AG18" i="2"/>
  <c r="AC23" i="2"/>
  <c r="AC21" i="2"/>
  <c r="AC20" i="2"/>
  <c r="AC19" i="2"/>
  <c r="AC18" i="2"/>
  <c r="AD17" i="2"/>
  <c r="AE17" i="2"/>
  <c r="AE25" i="2" s="1"/>
  <c r="AE31" i="2" s="1"/>
  <c r="AE33" i="2" s="1"/>
  <c r="AG15" i="2"/>
  <c r="AG14" i="2"/>
  <c r="AC15" i="2"/>
  <c r="AC13" i="2"/>
  <c r="AC14" i="2"/>
  <c r="AC12" i="2"/>
  <c r="AC10" i="2" s="1"/>
  <c r="AC11" i="2"/>
  <c r="AD10" i="2"/>
  <c r="AE10" i="2"/>
  <c r="AG10" i="2"/>
  <c r="AG70" i="2"/>
  <c r="AG77" i="2" s="1"/>
  <c r="AG83" i="2" s="1"/>
  <c r="AG85" i="2" s="1"/>
  <c r="AG33" i="2" s="1"/>
  <c r="AG63" i="2"/>
  <c r="R37" i="1"/>
  <c r="R39" i="1" s="1"/>
  <c r="R43" i="1" s="1"/>
  <c r="S37" i="1"/>
  <c r="T37" i="1"/>
  <c r="R13" i="1"/>
  <c r="S13" i="1"/>
  <c r="T13" i="1"/>
  <c r="R9" i="1"/>
  <c r="R21" i="1"/>
  <c r="R27" i="1" s="1"/>
  <c r="S9" i="1"/>
  <c r="S21" i="1" s="1"/>
  <c r="T9" i="1"/>
  <c r="T21" i="1" s="1"/>
  <c r="U9" i="1"/>
  <c r="U21" i="1" s="1"/>
  <c r="AD51" i="6"/>
  <c r="AE51" i="6"/>
  <c r="AF51" i="6"/>
  <c r="AG51" i="6"/>
  <c r="AD46" i="6"/>
  <c r="AE46" i="6"/>
  <c r="AF46" i="6"/>
  <c r="AG46" i="6"/>
  <c r="AG29" i="6"/>
  <c r="AG24" i="6"/>
  <c r="AG17" i="6" s="1"/>
  <c r="AG20" i="6"/>
  <c r="AG9" i="6"/>
  <c r="P9" i="1"/>
  <c r="AE25" i="7"/>
  <c r="AE11" i="7"/>
  <c r="U25" i="7"/>
  <c r="AD25" i="7"/>
  <c r="D31" i="5"/>
  <c r="AF33" i="5"/>
  <c r="AF37" i="5" s="1"/>
  <c r="D9" i="4"/>
  <c r="T37" i="4"/>
  <c r="T31" i="4"/>
  <c r="D9" i="3"/>
  <c r="AF70" i="2"/>
  <c r="C70" i="2" s="1"/>
  <c r="T12" i="4"/>
  <c r="AF15" i="3"/>
  <c r="AF14" i="5"/>
  <c r="T18" i="4"/>
  <c r="AF63" i="2"/>
  <c r="D65" i="2"/>
  <c r="D64" i="2"/>
  <c r="AF39" i="6"/>
  <c r="AF20" i="6"/>
  <c r="AF17" i="6" s="1"/>
  <c r="AF29" i="6"/>
  <c r="AF24" i="6"/>
  <c r="AF9" i="6"/>
  <c r="U29" i="6"/>
  <c r="AE17" i="3"/>
  <c r="C64" i="2"/>
  <c r="C65" i="2"/>
  <c r="C66" i="2"/>
  <c r="C67" i="2"/>
  <c r="O10" i="1"/>
  <c r="AE16" i="5"/>
  <c r="AE13" i="5"/>
  <c r="AE33" i="5"/>
  <c r="AE37" i="5"/>
  <c r="AE12" i="5"/>
  <c r="AE11" i="5"/>
  <c r="AD10" i="7"/>
  <c r="AD9" i="7"/>
  <c r="AD11" i="7"/>
  <c r="S16" i="4"/>
  <c r="S15" i="4"/>
  <c r="S14" i="4"/>
  <c r="S18" i="4"/>
  <c r="S10" i="4"/>
  <c r="S12" i="4" s="1"/>
  <c r="S9" i="4"/>
  <c r="S37" i="4"/>
  <c r="S31" i="4"/>
  <c r="AE21" i="3"/>
  <c r="AE13" i="3"/>
  <c r="AE11" i="3"/>
  <c r="AE10" i="3"/>
  <c r="AE15" i="3"/>
  <c r="AE14" i="5"/>
  <c r="AE18" i="5" s="1"/>
  <c r="AF18" i="5"/>
  <c r="AE70" i="2"/>
  <c r="AE77" i="2" s="1"/>
  <c r="AE83" i="2" s="1"/>
  <c r="AE85" i="2" s="1"/>
  <c r="AE63" i="2"/>
  <c r="D63" i="2"/>
  <c r="AE39" i="6"/>
  <c r="AE29" i="6"/>
  <c r="AE24" i="6"/>
  <c r="AE20" i="6"/>
  <c r="AE9" i="6"/>
  <c r="AE17" i="6"/>
  <c r="C25" i="7"/>
  <c r="C24" i="7"/>
  <c r="C23" i="7"/>
  <c r="B24" i="7"/>
  <c r="B23" i="7"/>
  <c r="C9" i="7"/>
  <c r="E51" i="2"/>
  <c r="E50" i="2"/>
  <c r="E46" i="2"/>
  <c r="D44" i="2"/>
  <c r="C44" i="2"/>
  <c r="C48" i="2" s="1"/>
  <c r="C53" i="2" s="1"/>
  <c r="C55" i="2" s="1"/>
  <c r="D40" i="2"/>
  <c r="E40" i="2" s="1"/>
  <c r="C40" i="2"/>
  <c r="E29" i="2"/>
  <c r="E28" i="2"/>
  <c r="E27" i="2"/>
  <c r="E23" i="2"/>
  <c r="E22" i="2"/>
  <c r="E21" i="2"/>
  <c r="E20" i="2"/>
  <c r="E19" i="2"/>
  <c r="E18" i="2"/>
  <c r="D17" i="2"/>
  <c r="D25" i="2" s="1"/>
  <c r="C17" i="2"/>
  <c r="C25" i="2" s="1"/>
  <c r="C31" i="2" s="1"/>
  <c r="C33" i="2" s="1"/>
  <c r="E10" i="2"/>
  <c r="D35" i="5"/>
  <c r="E35" i="5" s="1"/>
  <c r="D32" i="5"/>
  <c r="D30" i="5"/>
  <c r="D28" i="5"/>
  <c r="C35" i="5"/>
  <c r="C32" i="5"/>
  <c r="C31" i="5"/>
  <c r="C30" i="5"/>
  <c r="E30" i="5" s="1"/>
  <c r="D16" i="5"/>
  <c r="D13" i="5"/>
  <c r="D12" i="5"/>
  <c r="D11" i="5"/>
  <c r="D9" i="5"/>
  <c r="AD14" i="5"/>
  <c r="AD33" i="5"/>
  <c r="AD37" i="5" s="1"/>
  <c r="D33" i="5"/>
  <c r="D37" i="5"/>
  <c r="AC25" i="7"/>
  <c r="E34" i="4"/>
  <c r="E29" i="4"/>
  <c r="E28" i="4"/>
  <c r="D18" i="4"/>
  <c r="D17" i="4"/>
  <c r="D16" i="4"/>
  <c r="D15" i="4"/>
  <c r="D14" i="4"/>
  <c r="D12" i="4"/>
  <c r="D11" i="4"/>
  <c r="D10" i="4"/>
  <c r="C17" i="4"/>
  <c r="C11" i="4"/>
  <c r="R18" i="4"/>
  <c r="R12" i="4"/>
  <c r="R37" i="4"/>
  <c r="R31" i="4"/>
  <c r="D44" i="3"/>
  <c r="D42" i="3"/>
  <c r="D40" i="3"/>
  <c r="D38" i="3"/>
  <c r="D36" i="3"/>
  <c r="E36" i="3" s="1"/>
  <c r="D35" i="3"/>
  <c r="D34" i="3"/>
  <c r="D33" i="3"/>
  <c r="C42" i="3"/>
  <c r="C36" i="3"/>
  <c r="C35" i="3"/>
  <c r="C34" i="3"/>
  <c r="C33" i="3"/>
  <c r="D19" i="3"/>
  <c r="D17" i="3"/>
  <c r="D13" i="3"/>
  <c r="D12" i="3"/>
  <c r="D10" i="3"/>
  <c r="C13" i="3"/>
  <c r="D84" i="2"/>
  <c r="D82" i="2"/>
  <c r="D81" i="2"/>
  <c r="D80" i="2"/>
  <c r="D79" i="2"/>
  <c r="D78" i="2"/>
  <c r="D76" i="2"/>
  <c r="D75" i="2"/>
  <c r="D74" i="2"/>
  <c r="D73" i="2"/>
  <c r="D72" i="2"/>
  <c r="D71" i="2"/>
  <c r="D69" i="2"/>
  <c r="D68" i="2"/>
  <c r="D67" i="2"/>
  <c r="D66" i="2"/>
  <c r="C84" i="2"/>
  <c r="C82" i="2"/>
  <c r="C81" i="2"/>
  <c r="C80" i="2"/>
  <c r="C79" i="2"/>
  <c r="C78" i="2"/>
  <c r="C76" i="2"/>
  <c r="C75" i="2"/>
  <c r="C74" i="2"/>
  <c r="C73" i="2"/>
  <c r="C72" i="2"/>
  <c r="C71" i="2"/>
  <c r="C69" i="2"/>
  <c r="C68" i="2"/>
  <c r="AD70" i="2"/>
  <c r="AD77" i="2" s="1"/>
  <c r="AD83" i="2" s="1"/>
  <c r="AD85" i="2" s="1"/>
  <c r="D70" i="2"/>
  <c r="AD63" i="2"/>
  <c r="D46" i="1"/>
  <c r="D45" i="1"/>
  <c r="D41" i="1"/>
  <c r="D37" i="1"/>
  <c r="D35" i="1"/>
  <c r="D34" i="1"/>
  <c r="D33" i="1"/>
  <c r="D32" i="1"/>
  <c r="D31" i="1"/>
  <c r="D28" i="1"/>
  <c r="D25" i="1"/>
  <c r="D24" i="1"/>
  <c r="D23" i="1"/>
  <c r="D22" i="1"/>
  <c r="D19" i="1"/>
  <c r="D18" i="1"/>
  <c r="D17" i="1"/>
  <c r="D16" i="1"/>
  <c r="D15" i="1"/>
  <c r="D14" i="1"/>
  <c r="D13" i="1"/>
  <c r="D11" i="1"/>
  <c r="D10" i="1"/>
  <c r="D9" i="1"/>
  <c r="C45" i="1"/>
  <c r="C41" i="1"/>
  <c r="C35" i="1"/>
  <c r="C34" i="1"/>
  <c r="C33" i="1"/>
  <c r="C32" i="1"/>
  <c r="C31" i="1"/>
  <c r="C28" i="1"/>
  <c r="C25" i="1"/>
  <c r="C24" i="1"/>
  <c r="C23" i="1"/>
  <c r="C19" i="1"/>
  <c r="C18" i="1"/>
  <c r="C17" i="1"/>
  <c r="C16" i="1"/>
  <c r="C15" i="1"/>
  <c r="C14" i="1"/>
  <c r="C11" i="1"/>
  <c r="C10" i="1"/>
  <c r="D49" i="6"/>
  <c r="C49" i="6"/>
  <c r="D51" i="6"/>
  <c r="D50" i="6"/>
  <c r="D48" i="6"/>
  <c r="D46" i="6"/>
  <c r="D44" i="6"/>
  <c r="D42" i="6"/>
  <c r="D41" i="6"/>
  <c r="C50" i="6"/>
  <c r="C48" i="6"/>
  <c r="C44" i="6"/>
  <c r="C43" i="6"/>
  <c r="C42" i="6"/>
  <c r="C41" i="6"/>
  <c r="A7" i="6"/>
  <c r="A8" i="6"/>
  <c r="A9" i="6" s="1"/>
  <c r="Z9" i="6"/>
  <c r="AD39" i="6"/>
  <c r="AD29" i="6"/>
  <c r="AD24" i="6"/>
  <c r="AD20" i="6"/>
  <c r="AD9" i="6"/>
  <c r="AD17" i="6"/>
  <c r="AD25" i="2"/>
  <c r="AD31" i="2" s="1"/>
  <c r="AD33" i="2" s="1"/>
  <c r="D77" i="2"/>
  <c r="Q37" i="1"/>
  <c r="P37" i="1"/>
  <c r="P39" i="1" s="1"/>
  <c r="P43" i="1" s="1"/>
  <c r="C37" i="1"/>
  <c r="O37" i="1"/>
  <c r="N37" i="1"/>
  <c r="M37" i="1"/>
  <c r="L37" i="1"/>
  <c r="K37" i="1"/>
  <c r="J37" i="1"/>
  <c r="I37" i="1"/>
  <c r="Q13" i="1"/>
  <c r="Q21" i="1" s="1"/>
  <c r="P13" i="1"/>
  <c r="P21" i="1"/>
  <c r="P29" i="1" s="1"/>
  <c r="P27" i="1"/>
  <c r="O13" i="1"/>
  <c r="N13" i="1"/>
  <c r="M13" i="1"/>
  <c r="L13" i="1"/>
  <c r="K13" i="1"/>
  <c r="J13" i="1"/>
  <c r="I13" i="1"/>
  <c r="Q9" i="1"/>
  <c r="O9" i="1"/>
  <c r="N9" i="1"/>
  <c r="N21" i="1" s="1"/>
  <c r="M9" i="1"/>
  <c r="M21" i="1"/>
  <c r="M27" i="1" s="1"/>
  <c r="M39" i="1" s="1"/>
  <c r="M43" i="1" s="1"/>
  <c r="L9" i="1"/>
  <c r="L21" i="1" s="1"/>
  <c r="K9" i="1"/>
  <c r="K21" i="1" s="1"/>
  <c r="J9" i="1"/>
  <c r="J21" i="1"/>
  <c r="J29" i="1" s="1"/>
  <c r="I9" i="1"/>
  <c r="I21" i="1"/>
  <c r="I29" i="1" s="1"/>
  <c r="I27" i="1"/>
  <c r="I39" i="1" s="1"/>
  <c r="I43" i="1" s="1"/>
  <c r="C13" i="1"/>
  <c r="C9" i="1"/>
  <c r="O21" i="1"/>
  <c r="O27" i="1"/>
  <c r="O39" i="1"/>
  <c r="O43" i="1" s="1"/>
  <c r="AC46" i="6"/>
  <c r="AC16" i="5"/>
  <c r="AC13" i="5"/>
  <c r="AC12" i="5"/>
  <c r="AC11" i="5"/>
  <c r="AC14" i="5" s="1"/>
  <c r="AC33" i="5"/>
  <c r="AC37" i="5" s="1"/>
  <c r="AB9" i="7"/>
  <c r="AB10" i="7"/>
  <c r="AB25" i="7"/>
  <c r="B25" i="7"/>
  <c r="Q16" i="4"/>
  <c r="Q15" i="4"/>
  <c r="Q14" i="4"/>
  <c r="Q10" i="4"/>
  <c r="Q12" i="4" s="1"/>
  <c r="Q9" i="4"/>
  <c r="Q31" i="4"/>
  <c r="Q37" i="4"/>
  <c r="AC44" i="3"/>
  <c r="AC46" i="3" s="1"/>
  <c r="AC38" i="3"/>
  <c r="AB11" i="7"/>
  <c r="Q18" i="4"/>
  <c r="AC70" i="2"/>
  <c r="AC77" i="2" s="1"/>
  <c r="AC83" i="2" s="1"/>
  <c r="AC85" i="2" s="1"/>
  <c r="AC63" i="2"/>
  <c r="AC51" i="6"/>
  <c r="AC39" i="6"/>
  <c r="AC29" i="6"/>
  <c r="AC24" i="6"/>
  <c r="AC20" i="6"/>
  <c r="AC9" i="6"/>
  <c r="AC17" i="6"/>
  <c r="AA10" i="7"/>
  <c r="AA11" i="7" s="1"/>
  <c r="B10" i="7"/>
  <c r="AA9" i="7"/>
  <c r="B9" i="7"/>
  <c r="AA27" i="7"/>
  <c r="AB16" i="5"/>
  <c r="C16" i="5"/>
  <c r="AB13" i="5"/>
  <c r="C13" i="5"/>
  <c r="AB12" i="5"/>
  <c r="AB14" i="5" s="1"/>
  <c r="AB18" i="5" s="1"/>
  <c r="AC9" i="5" s="1"/>
  <c r="C12" i="5"/>
  <c r="E12" i="5" s="1"/>
  <c r="AB11" i="5"/>
  <c r="C11" i="5"/>
  <c r="B11" i="7"/>
  <c r="AB33" i="5"/>
  <c r="C33" i="5"/>
  <c r="AA29" i="6"/>
  <c r="P16" i="4"/>
  <c r="C16" i="4"/>
  <c r="P15" i="4"/>
  <c r="C15" i="4"/>
  <c r="P14" i="4"/>
  <c r="P18" i="4" s="1"/>
  <c r="C14" i="4"/>
  <c r="P10" i="4"/>
  <c r="P12" i="4" s="1"/>
  <c r="C10" i="4"/>
  <c r="P9" i="4"/>
  <c r="C9" i="4"/>
  <c r="AB19" i="3"/>
  <c r="C19" i="3"/>
  <c r="AB12" i="3"/>
  <c r="C12" i="3"/>
  <c r="AB11" i="3"/>
  <c r="AB15" i="3" s="1"/>
  <c r="C11" i="3"/>
  <c r="AB10" i="3"/>
  <c r="C10" i="3"/>
  <c r="AB9" i="3"/>
  <c r="C9" i="3"/>
  <c r="AB29" i="2"/>
  <c r="AB28" i="2"/>
  <c r="AB27" i="2"/>
  <c r="C12" i="4"/>
  <c r="P31" i="4"/>
  <c r="AB38" i="3"/>
  <c r="C15" i="3"/>
  <c r="C38" i="3"/>
  <c r="C40" i="3"/>
  <c r="AA51" i="6"/>
  <c r="Z29" i="6"/>
  <c r="P37" i="4"/>
  <c r="C18" i="4"/>
  <c r="AB63" i="2"/>
  <c r="AB17" i="2"/>
  <c r="AB25" i="2" s="1"/>
  <c r="AB46" i="6"/>
  <c r="C46" i="6"/>
  <c r="AB51" i="6"/>
  <c r="C51" i="6"/>
  <c r="AB39" i="6"/>
  <c r="C39" i="6"/>
  <c r="E39" i="6" s="1"/>
  <c r="AB29" i="6"/>
  <c r="AB24" i="6"/>
  <c r="AB20" i="6"/>
  <c r="AB17" i="6" s="1"/>
  <c r="AB9" i="6"/>
  <c r="AB77" i="2"/>
  <c r="AB83" i="2" s="1"/>
  <c r="AB85" i="2" s="1"/>
  <c r="M18" i="4"/>
  <c r="M12" i="4"/>
  <c r="M37" i="4"/>
  <c r="M31" i="4"/>
  <c r="AA14" i="5"/>
  <c r="Z11" i="7"/>
  <c r="Z25" i="7"/>
  <c r="O37" i="4"/>
  <c r="O31" i="4"/>
  <c r="O18" i="4"/>
  <c r="O12" i="4"/>
  <c r="AA38" i="3"/>
  <c r="AA15" i="3"/>
  <c r="AA70" i="2"/>
  <c r="AA77" i="2" s="1"/>
  <c r="AA83" i="2" s="1"/>
  <c r="AA85" i="2" s="1"/>
  <c r="AA63" i="2"/>
  <c r="AA17" i="2"/>
  <c r="AA25" i="2" s="1"/>
  <c r="AA31" i="2" s="1"/>
  <c r="AA33" i="2" s="1"/>
  <c r="AA10" i="2"/>
  <c r="AA46" i="6"/>
  <c r="AA39" i="6"/>
  <c r="AA9" i="6"/>
  <c r="AA24" i="6"/>
  <c r="AA20" i="6"/>
  <c r="AA17" i="6" s="1"/>
  <c r="C26" i="7"/>
  <c r="Y25" i="7"/>
  <c r="Y11" i="7"/>
  <c r="Z14" i="5"/>
  <c r="C14" i="5"/>
  <c r="Z38" i="3"/>
  <c r="Z15" i="3"/>
  <c r="Z70" i="2"/>
  <c r="Z63" i="2"/>
  <c r="Z17" i="2"/>
  <c r="Z25" i="2" s="1"/>
  <c r="Z31" i="2" s="1"/>
  <c r="Z33" i="2" s="1"/>
  <c r="Z10" i="2"/>
  <c r="Z51" i="6"/>
  <c r="Z46" i="6"/>
  <c r="Y46" i="6"/>
  <c r="X46" i="6"/>
  <c r="Z39" i="6"/>
  <c r="Z24" i="6"/>
  <c r="Z20" i="6"/>
  <c r="Z17" i="6"/>
  <c r="Z77" i="2"/>
  <c r="Z83" i="2" s="1"/>
  <c r="Z85" i="2" s="1"/>
  <c r="X25" i="7"/>
  <c r="X11" i="7"/>
  <c r="Q37" i="5"/>
  <c r="R37" i="5"/>
  <c r="S33" i="5"/>
  <c r="S37" i="5"/>
  <c r="T33" i="5"/>
  <c r="T37" i="5" s="1"/>
  <c r="U33" i="5"/>
  <c r="U37" i="5" s="1"/>
  <c r="V33" i="5"/>
  <c r="V37" i="5"/>
  <c r="W33" i="5"/>
  <c r="W37" i="5" s="1"/>
  <c r="X33" i="5"/>
  <c r="X37" i="5" s="1"/>
  <c r="Y28" i="5" s="1"/>
  <c r="Y33" i="5"/>
  <c r="Y37" i="5" s="1"/>
  <c r="Z28" i="5" s="1"/>
  <c r="Z37" i="5" s="1"/>
  <c r="AA28" i="5" s="1"/>
  <c r="AA37" i="5" s="1"/>
  <c r="AB28" i="5" s="1"/>
  <c r="AB37" i="5" s="1"/>
  <c r="R14" i="5"/>
  <c r="S14" i="5"/>
  <c r="T14" i="5"/>
  <c r="U14" i="5"/>
  <c r="U18" i="5" s="1"/>
  <c r="V9" i="5" s="1"/>
  <c r="V14" i="5"/>
  <c r="V18" i="5" s="1"/>
  <c r="W9" i="5" s="1"/>
  <c r="W14" i="5"/>
  <c r="W18" i="5" s="1"/>
  <c r="X9" i="5" s="1"/>
  <c r="X18" i="5" s="1"/>
  <c r="Y9" i="5" s="1"/>
  <c r="X14" i="5"/>
  <c r="Y14" i="5"/>
  <c r="Y18" i="5" s="1"/>
  <c r="Z9" i="5" s="1"/>
  <c r="Z18" i="5" s="1"/>
  <c r="AA9" i="5" s="1"/>
  <c r="AA18" i="5" s="1"/>
  <c r="AB9" i="5" s="1"/>
  <c r="Y38" i="3"/>
  <c r="Y15" i="3"/>
  <c r="Q70" i="2"/>
  <c r="Q77" i="2" s="1"/>
  <c r="Q83" i="2" s="1"/>
  <c r="Q85" i="2" s="1"/>
  <c r="R70" i="2"/>
  <c r="R77" i="2" s="1"/>
  <c r="R83" i="2" s="1"/>
  <c r="R85" i="2" s="1"/>
  <c r="S70" i="2"/>
  <c r="S77" i="2" s="1"/>
  <c r="S83" i="2" s="1"/>
  <c r="S85" i="2" s="1"/>
  <c r="T70" i="2"/>
  <c r="T77" i="2" s="1"/>
  <c r="T83" i="2" s="1"/>
  <c r="T85" i="2" s="1"/>
  <c r="U70" i="2"/>
  <c r="U77" i="2" s="1"/>
  <c r="U83" i="2" s="1"/>
  <c r="U85" i="2" s="1"/>
  <c r="V70" i="2"/>
  <c r="V77" i="2" s="1"/>
  <c r="V83" i="2" s="1"/>
  <c r="V85" i="2" s="1"/>
  <c r="W70" i="2"/>
  <c r="W77" i="2" s="1"/>
  <c r="W83" i="2" s="1"/>
  <c r="W85" i="2" s="1"/>
  <c r="X70" i="2"/>
  <c r="X77" i="2" s="1"/>
  <c r="X83" i="2" s="1"/>
  <c r="X85" i="2" s="1"/>
  <c r="Q63" i="2"/>
  <c r="R63" i="2"/>
  <c r="S63" i="2"/>
  <c r="T63" i="2"/>
  <c r="U63" i="2"/>
  <c r="V63" i="2"/>
  <c r="W63" i="2"/>
  <c r="X63" i="2"/>
  <c r="Y70" i="2"/>
  <c r="Y77" i="2" s="1"/>
  <c r="Y83" i="2" s="1"/>
  <c r="Y85" i="2" s="1"/>
  <c r="Y63" i="2"/>
  <c r="I17" i="2"/>
  <c r="J17" i="2"/>
  <c r="K17" i="2"/>
  <c r="K25" i="2" s="1"/>
  <c r="K31" i="2" s="1"/>
  <c r="K33" i="2" s="1"/>
  <c r="L17" i="2"/>
  <c r="M17" i="2"/>
  <c r="M25" i="2" s="1"/>
  <c r="M31" i="2" s="1"/>
  <c r="M33" i="2" s="1"/>
  <c r="N17" i="2"/>
  <c r="N25" i="2" s="1"/>
  <c r="N31" i="2" s="1"/>
  <c r="N33" i="2" s="1"/>
  <c r="O17" i="2"/>
  <c r="P17" i="2"/>
  <c r="P25" i="2" s="1"/>
  <c r="P31" i="2" s="1"/>
  <c r="P33" i="2" s="1"/>
  <c r="Q17" i="2"/>
  <c r="Q25" i="2" s="1"/>
  <c r="Q31" i="2" s="1"/>
  <c r="Q33" i="2" s="1"/>
  <c r="R17" i="2"/>
  <c r="R25" i="2" s="1"/>
  <c r="R31" i="2" s="1"/>
  <c r="R33" i="2" s="1"/>
  <c r="S17" i="2"/>
  <c r="S25" i="2" s="1"/>
  <c r="S31" i="2" s="1"/>
  <c r="S33" i="2" s="1"/>
  <c r="T17" i="2"/>
  <c r="T25" i="2" s="1"/>
  <c r="T31" i="2" s="1"/>
  <c r="T33" i="2" s="1"/>
  <c r="U17" i="2"/>
  <c r="U25" i="2" s="1"/>
  <c r="U31" i="2" s="1"/>
  <c r="U33" i="2" s="1"/>
  <c r="V17" i="2"/>
  <c r="W17" i="2"/>
  <c r="I10" i="2"/>
  <c r="J10" i="2"/>
  <c r="K10" i="2"/>
  <c r="L10" i="2"/>
  <c r="M10" i="2"/>
  <c r="N10" i="2"/>
  <c r="O10" i="2"/>
  <c r="O25" i="2" s="1"/>
  <c r="O31" i="2" s="1"/>
  <c r="O33" i="2" s="1"/>
  <c r="P10" i="2"/>
  <c r="Q10" i="2"/>
  <c r="R10" i="2"/>
  <c r="S10" i="2"/>
  <c r="T10" i="2"/>
  <c r="U10" i="2"/>
  <c r="V10" i="2"/>
  <c r="W10" i="2"/>
  <c r="X10" i="2"/>
  <c r="X17" i="2"/>
  <c r="Y17" i="2"/>
  <c r="Y10" i="2"/>
  <c r="Y25" i="2"/>
  <c r="Y31" i="2" s="1"/>
  <c r="Y33" i="2" s="1"/>
  <c r="X25" i="2"/>
  <c r="X31" i="2" s="1"/>
  <c r="X33" i="2" s="1"/>
  <c r="I25" i="2"/>
  <c r="L25" i="2"/>
  <c r="L31" i="2" s="1"/>
  <c r="L33" i="2" s="1"/>
  <c r="W25" i="2"/>
  <c r="W31" i="2" s="1"/>
  <c r="W33" i="2" s="1"/>
  <c r="J25" i="2"/>
  <c r="J31" i="2" s="1"/>
  <c r="J33" i="2" s="1"/>
  <c r="J24" i="6"/>
  <c r="K24" i="6"/>
  <c r="K17" i="6" s="1"/>
  <c r="L24" i="6"/>
  <c r="L17" i="6" s="1"/>
  <c r="M24" i="6"/>
  <c r="N24" i="6"/>
  <c r="O24" i="6"/>
  <c r="P24" i="6"/>
  <c r="P17" i="6" s="1"/>
  <c r="Q24" i="6"/>
  <c r="R24" i="6"/>
  <c r="S24" i="6"/>
  <c r="T24" i="6"/>
  <c r="U24" i="6"/>
  <c r="V24" i="6"/>
  <c r="W24" i="6"/>
  <c r="X24" i="6"/>
  <c r="Y24" i="6"/>
  <c r="I24" i="6"/>
  <c r="J20" i="6"/>
  <c r="J17" i="6" s="1"/>
  <c r="K20" i="6"/>
  <c r="L20" i="6"/>
  <c r="M20" i="6"/>
  <c r="M17" i="6" s="1"/>
  <c r="N20" i="6"/>
  <c r="N17" i="6"/>
  <c r="O20" i="6"/>
  <c r="P20" i="6"/>
  <c r="Q20" i="6"/>
  <c r="Q17" i="6" s="1"/>
  <c r="R20" i="6"/>
  <c r="R17" i="6" s="1"/>
  <c r="S20" i="6"/>
  <c r="S17" i="6"/>
  <c r="T20" i="6"/>
  <c r="T17" i="6" s="1"/>
  <c r="U20" i="6"/>
  <c r="U17" i="6" s="1"/>
  <c r="V20" i="6"/>
  <c r="V17" i="6" s="1"/>
  <c r="W20" i="6"/>
  <c r="W17" i="6" s="1"/>
  <c r="X20" i="6"/>
  <c r="X17" i="6" s="1"/>
  <c r="Y20" i="6"/>
  <c r="I20" i="6"/>
  <c r="I17" i="6" s="1"/>
  <c r="O17" i="6"/>
  <c r="Y17" i="6"/>
  <c r="N12" i="4"/>
  <c r="N18" i="4"/>
  <c r="N31" i="4"/>
  <c r="N37" i="4"/>
  <c r="Y39" i="6"/>
  <c r="Y9" i="6"/>
  <c r="Y29" i="6"/>
  <c r="C17" i="3"/>
  <c r="C44" i="3"/>
  <c r="C21" i="3"/>
  <c r="C23" i="3"/>
  <c r="C28" i="5"/>
  <c r="W11" i="7"/>
  <c r="W25" i="7"/>
  <c r="X9" i="6"/>
  <c r="X29" i="6"/>
  <c r="X39" i="6"/>
  <c r="K12" i="4"/>
  <c r="L12" i="4"/>
  <c r="K18" i="4"/>
  <c r="L37" i="4"/>
  <c r="L18" i="4"/>
  <c r="J18" i="4"/>
  <c r="I18" i="4"/>
  <c r="J12" i="4"/>
  <c r="I12" i="4"/>
  <c r="C9" i="5"/>
  <c r="J37" i="4"/>
  <c r="K37" i="4"/>
  <c r="I37" i="4"/>
  <c r="J31" i="4"/>
  <c r="K31" i="4"/>
  <c r="I31" i="4"/>
  <c r="C18" i="5"/>
  <c r="Q11" i="7"/>
  <c r="R11" i="7"/>
  <c r="S11" i="7"/>
  <c r="T11" i="7"/>
  <c r="U11" i="7"/>
  <c r="V11" i="7"/>
  <c r="Q25" i="7"/>
  <c r="Q27" i="7"/>
  <c r="R25" i="7"/>
  <c r="R27" i="7"/>
  <c r="S25" i="7"/>
  <c r="T25" i="7"/>
  <c r="V25" i="7"/>
  <c r="P25" i="7"/>
  <c r="P27" i="7"/>
  <c r="I11" i="7"/>
  <c r="I13" i="7" s="1"/>
  <c r="J11" i="7"/>
  <c r="J13" i="7" s="1"/>
  <c r="K11" i="7"/>
  <c r="L11" i="7"/>
  <c r="M11" i="7"/>
  <c r="N11" i="7"/>
  <c r="O11" i="7"/>
  <c r="P11" i="7"/>
  <c r="H11" i="7"/>
  <c r="H13" i="7"/>
  <c r="I31" i="2"/>
  <c r="I33" i="2" s="1"/>
  <c r="J29" i="6"/>
  <c r="K29" i="6"/>
  <c r="L29" i="6"/>
  <c r="M29" i="6"/>
  <c r="N29" i="6"/>
  <c r="O29" i="6"/>
  <c r="P29" i="6"/>
  <c r="Q29" i="6"/>
  <c r="R29" i="6"/>
  <c r="S29" i="6"/>
  <c r="T29" i="6"/>
  <c r="V29" i="6"/>
  <c r="W29" i="6"/>
  <c r="I29" i="6"/>
  <c r="J9" i="6"/>
  <c r="K9" i="6"/>
  <c r="L9" i="6"/>
  <c r="M9" i="6"/>
  <c r="N9" i="6"/>
  <c r="O9" i="6"/>
  <c r="P9" i="6"/>
  <c r="Q9" i="6"/>
  <c r="R9" i="6"/>
  <c r="S9" i="6"/>
  <c r="T9" i="6"/>
  <c r="U9" i="6"/>
  <c r="V9" i="6"/>
  <c r="W9" i="6"/>
  <c r="I9" i="6"/>
  <c r="R39" i="6"/>
  <c r="S39" i="6"/>
  <c r="T39" i="6"/>
  <c r="U39" i="6"/>
  <c r="V39" i="6"/>
  <c r="W39" i="6"/>
  <c r="Q39" i="6"/>
  <c r="E35" i="4"/>
  <c r="L31" i="4"/>
  <c r="E31" i="5" l="1"/>
  <c r="E9" i="5"/>
  <c r="AG28" i="5"/>
  <c r="C37" i="5"/>
  <c r="E37" i="5" s="1"/>
  <c r="AC18" i="5"/>
  <c r="AD9" i="5" s="1"/>
  <c r="AD18" i="5" s="1"/>
  <c r="AJ14" i="5"/>
  <c r="D14" i="5" s="1"/>
  <c r="E14" i="5" s="1"/>
  <c r="E28" i="5"/>
  <c r="E11" i="5"/>
  <c r="E13" i="5"/>
  <c r="AH31" i="2"/>
  <c r="AB31" i="2"/>
  <c r="AB33" i="2" s="1"/>
  <c r="AI31" i="2"/>
  <c r="AJ17" i="2"/>
  <c r="AJ25" i="2" s="1"/>
  <c r="AJ31" i="2" s="1"/>
  <c r="AJ33" i="2" s="1"/>
  <c r="AC17" i="2"/>
  <c r="AC25" i="2" s="1"/>
  <c r="AC31" i="2" s="1"/>
  <c r="AC33" i="2" s="1"/>
  <c r="AD26" i="7"/>
  <c r="AD27" i="7" s="1"/>
  <c r="AB26" i="7"/>
  <c r="AB27" i="7" s="1"/>
  <c r="U26" i="7"/>
  <c r="U27" i="7" s="1"/>
  <c r="E38" i="3"/>
  <c r="E42" i="3"/>
  <c r="E44" i="3"/>
  <c r="E35" i="3"/>
  <c r="P12" i="7"/>
  <c r="S12" i="7"/>
  <c r="V25" i="2"/>
  <c r="V31" i="2" s="1"/>
  <c r="V33" i="2" s="1"/>
  <c r="O12" i="7"/>
  <c r="O13" i="7" s="1"/>
  <c r="Y12" i="7"/>
  <c r="AD12" i="7"/>
  <c r="AD13" i="7" s="1"/>
  <c r="D9" i="7"/>
  <c r="D23" i="7"/>
  <c r="AI13" i="7"/>
  <c r="C11" i="7"/>
  <c r="D11" i="7" s="1"/>
  <c r="S13" i="7"/>
  <c r="Y13" i="7"/>
  <c r="P13" i="7"/>
  <c r="D10" i="7"/>
  <c r="E33" i="4"/>
  <c r="E31" i="4"/>
  <c r="E12" i="4"/>
  <c r="E16" i="4"/>
  <c r="E14" i="4"/>
  <c r="E18" i="4"/>
  <c r="E15" i="4"/>
  <c r="E9" i="4"/>
  <c r="E10" i="4"/>
  <c r="E37" i="4"/>
  <c r="E9" i="3"/>
  <c r="D47" i="3"/>
  <c r="AJ46" i="3"/>
  <c r="D11" i="3"/>
  <c r="E11" i="3" s="1"/>
  <c r="E44" i="2"/>
  <c r="D48" i="2"/>
  <c r="E48" i="2" s="1"/>
  <c r="E17" i="2"/>
  <c r="E66" i="2"/>
  <c r="D25" i="7"/>
  <c r="D24" i="7"/>
  <c r="AG17" i="2"/>
  <c r="AG25" i="2" s="1"/>
  <c r="AG31" i="2" s="1"/>
  <c r="E79" i="2"/>
  <c r="E80" i="2"/>
  <c r="E71" i="2"/>
  <c r="E10" i="3"/>
  <c r="E65" i="2"/>
  <c r="E75" i="2"/>
  <c r="E33" i="3"/>
  <c r="E12" i="3"/>
  <c r="E15" i="3"/>
  <c r="E63" i="2"/>
  <c r="E17" i="3"/>
  <c r="E68" i="2"/>
  <c r="E73" i="2"/>
  <c r="E64" i="2"/>
  <c r="E13" i="3"/>
  <c r="E70" i="2"/>
  <c r="E81" i="2"/>
  <c r="E34" i="3"/>
  <c r="L12" i="7"/>
  <c r="L13" i="7" s="1"/>
  <c r="AC26" i="7"/>
  <c r="AC27" i="7" s="1"/>
  <c r="S26" i="7"/>
  <c r="S27" i="7" s="1"/>
  <c r="R12" i="7"/>
  <c r="R13" i="7" s="1"/>
  <c r="X26" i="7"/>
  <c r="X27" i="7" s="1"/>
  <c r="N12" i="7"/>
  <c r="N13" i="7" s="1"/>
  <c r="M12" i="7"/>
  <c r="M13" i="7" s="1"/>
  <c r="AB12" i="7"/>
  <c r="AB13" i="7" s="1"/>
  <c r="X12" i="7"/>
  <c r="X13" i="7" s="1"/>
  <c r="T26" i="7"/>
  <c r="T27" i="7" s="1"/>
  <c r="W12" i="7"/>
  <c r="W13" i="7" s="1"/>
  <c r="AC12" i="7"/>
  <c r="AC13" i="7" s="1"/>
  <c r="AE12" i="7"/>
  <c r="Y26" i="7"/>
  <c r="Y27" i="7" s="1"/>
  <c r="K12" i="7"/>
  <c r="K13" i="7" s="1"/>
  <c r="V12" i="7"/>
  <c r="V13" i="7" s="1"/>
  <c r="AA12" i="7"/>
  <c r="AA13" i="7" s="1"/>
  <c r="U12" i="7"/>
  <c r="U13" i="7" s="1"/>
  <c r="W26" i="7"/>
  <c r="W27" i="7" s="1"/>
  <c r="E25" i="2"/>
  <c r="D31" i="2"/>
  <c r="Z12" i="7"/>
  <c r="Z13" i="7" s="1"/>
  <c r="V26" i="7"/>
  <c r="V27" i="7" s="1"/>
  <c r="Z26" i="7"/>
  <c r="Z27" i="7" s="1"/>
  <c r="Q12" i="7"/>
  <c r="Q13" i="7" s="1"/>
  <c r="T12" i="7"/>
  <c r="T13" i="7" s="1"/>
  <c r="D83" i="2"/>
  <c r="AJ85" i="2"/>
  <c r="D85" i="2" s="1"/>
  <c r="AF77" i="2"/>
  <c r="E31" i="1"/>
  <c r="E25" i="1"/>
  <c r="E10" i="1"/>
  <c r="E9" i="1"/>
  <c r="E18" i="1"/>
  <c r="E24" i="1"/>
  <c r="E14" i="1"/>
  <c r="E32" i="1"/>
  <c r="E37" i="1"/>
  <c r="E15" i="1"/>
  <c r="E16" i="1"/>
  <c r="E34" i="1"/>
  <c r="N27" i="1"/>
  <c r="N39" i="1" s="1"/>
  <c r="N43" i="1" s="1"/>
  <c r="N29" i="1"/>
  <c r="W29" i="1"/>
  <c r="W27" i="1"/>
  <c r="W39" i="1" s="1"/>
  <c r="W43" i="1" s="1"/>
  <c r="Q27" i="1"/>
  <c r="Q29" i="1"/>
  <c r="U29" i="1"/>
  <c r="U27" i="1"/>
  <c r="T27" i="1"/>
  <c r="T29" i="1"/>
  <c r="C29" i="1" s="1"/>
  <c r="C21" i="1"/>
  <c r="S29" i="1"/>
  <c r="S27" i="1"/>
  <c r="S39" i="1" s="1"/>
  <c r="S43" i="1" s="1"/>
  <c r="K29" i="1"/>
  <c r="K27" i="1"/>
  <c r="K39" i="1" s="1"/>
  <c r="K43" i="1" s="1"/>
  <c r="V39" i="1"/>
  <c r="V43" i="1" s="1"/>
  <c r="D21" i="1"/>
  <c r="X29" i="1"/>
  <c r="D29" i="1" s="1"/>
  <c r="X27" i="1"/>
  <c r="L27" i="1"/>
  <c r="L39" i="1" s="1"/>
  <c r="L43" i="1" s="1"/>
  <c r="L29" i="1"/>
  <c r="U39" i="1"/>
  <c r="U43" i="1" s="1"/>
  <c r="Q39" i="1"/>
  <c r="Q43" i="1" s="1"/>
  <c r="J27" i="1"/>
  <c r="J39" i="1" s="1"/>
  <c r="J43" i="1" s="1"/>
  <c r="E17" i="1"/>
  <c r="V27" i="1"/>
  <c r="M29" i="1"/>
  <c r="E13" i="1"/>
  <c r="R29" i="1"/>
  <c r="E35" i="1"/>
  <c r="E19" i="1"/>
  <c r="E23" i="1"/>
  <c r="E11" i="1"/>
  <c r="E44" i="6"/>
  <c r="E41" i="6"/>
  <c r="E48" i="6"/>
  <c r="E49" i="6"/>
  <c r="E46" i="6"/>
  <c r="C9" i="6"/>
  <c r="D9" i="6"/>
  <c r="A10" i="6"/>
  <c r="A11" i="6" s="1"/>
  <c r="D18" i="5" l="1"/>
  <c r="E18" i="5" s="1"/>
  <c r="AG9" i="5"/>
  <c r="AG18" i="5" s="1"/>
  <c r="AH9" i="5" s="1"/>
  <c r="AH18" i="5" s="1"/>
  <c r="AI9" i="5" s="1"/>
  <c r="AI18" i="5" s="1"/>
  <c r="AG37" i="5"/>
  <c r="AH28" i="5" s="1"/>
  <c r="AH37" i="5" s="1"/>
  <c r="AI28" i="5" s="1"/>
  <c r="AI37" i="5" s="1"/>
  <c r="C13" i="7"/>
  <c r="C12" i="7"/>
  <c r="D53" i="2"/>
  <c r="AJ23" i="3"/>
  <c r="D23" i="3" s="1"/>
  <c r="D46" i="3"/>
  <c r="AG12" i="7"/>
  <c r="AH12" i="7"/>
  <c r="AH13" i="7" s="1"/>
  <c r="AE13" i="7"/>
  <c r="B13" i="7" s="1"/>
  <c r="D13" i="7" s="1"/>
  <c r="B12" i="7"/>
  <c r="AF12" i="7"/>
  <c r="AF13" i="7" s="1"/>
  <c r="D55" i="2"/>
  <c r="E55" i="2" s="1"/>
  <c r="E53" i="2"/>
  <c r="D33" i="2"/>
  <c r="E33" i="2" s="1"/>
  <c r="E31" i="2"/>
  <c r="C77" i="2"/>
  <c r="E77" i="2" s="1"/>
  <c r="AF83" i="2"/>
  <c r="AB40" i="3"/>
  <c r="T39" i="1"/>
  <c r="C27" i="1"/>
  <c r="X39" i="1"/>
  <c r="D27" i="1"/>
  <c r="E21" i="1"/>
  <c r="E29" i="1"/>
  <c r="A12" i="6"/>
  <c r="D11" i="6"/>
  <c r="E9" i="6"/>
  <c r="D12" i="7" l="1"/>
  <c r="AF85" i="2"/>
  <c r="C83" i="2"/>
  <c r="E83" i="2" s="1"/>
  <c r="AB44" i="3"/>
  <c r="AB46" i="3" s="1"/>
  <c r="AB17" i="3"/>
  <c r="AB21" i="3" s="1"/>
  <c r="E27" i="1"/>
  <c r="X43" i="1"/>
  <c r="D43" i="1" s="1"/>
  <c r="D39" i="1"/>
  <c r="C39" i="1"/>
  <c r="T43" i="1"/>
  <c r="C43" i="1" s="1"/>
  <c r="E11" i="6"/>
  <c r="A13" i="6"/>
  <c r="D12" i="6"/>
  <c r="C12" i="6"/>
  <c r="C85" i="2" l="1"/>
  <c r="E85" i="2" s="1"/>
  <c r="AH26" i="7"/>
  <c r="AH27" i="7" s="1"/>
  <c r="AE26" i="7"/>
  <c r="AG26" i="7"/>
  <c r="AG27" i="7" s="1"/>
  <c r="E12" i="6"/>
  <c r="A14" i="6"/>
  <c r="C13" i="6"/>
  <c r="D13" i="6"/>
  <c r="AE27" i="7" l="1"/>
  <c r="B27" i="7" s="1"/>
  <c r="D27" i="7" s="1"/>
  <c r="B26" i="7"/>
  <c r="D26" i="7" s="1"/>
  <c r="A15" i="6"/>
  <c r="D14" i="6"/>
  <c r="C14" i="6"/>
  <c r="A16" i="6" l="1"/>
  <c r="A17" i="6" s="1"/>
  <c r="D15" i="6"/>
  <c r="C15" i="6"/>
  <c r="E15" i="6" l="1"/>
  <c r="C17" i="6"/>
  <c r="A18" i="6"/>
  <c r="A19" i="6" s="1"/>
  <c r="D17" i="6"/>
  <c r="E17" i="6" l="1"/>
  <c r="A20" i="6"/>
  <c r="D19" i="6"/>
  <c r="C19" i="6"/>
  <c r="E19" i="6" l="1"/>
  <c r="D20" i="6"/>
  <c r="C20" i="6"/>
  <c r="A21" i="6"/>
  <c r="A22" i="6" l="1"/>
  <c r="D21" i="6"/>
  <c r="C21" i="6"/>
  <c r="E20" i="6"/>
  <c r="E21" i="6" l="1"/>
  <c r="C22" i="6"/>
  <c r="D22" i="6"/>
  <c r="A23" i="6"/>
  <c r="E22" i="6" l="1"/>
  <c r="A24" i="6"/>
  <c r="D23" i="6"/>
  <c r="C23" i="6"/>
  <c r="E23" i="6" l="1"/>
  <c r="A25" i="6"/>
  <c r="C24" i="6"/>
  <c r="D24" i="6"/>
  <c r="E24" i="6" l="1"/>
  <c r="C25" i="6"/>
  <c r="A26" i="6"/>
  <c r="D25" i="6"/>
  <c r="E25" i="6" l="1"/>
  <c r="C26" i="6"/>
  <c r="A27" i="6"/>
  <c r="D26" i="6"/>
  <c r="E26" i="6" l="1"/>
  <c r="C27" i="6"/>
  <c r="D27" i="6"/>
  <c r="A28" i="6"/>
  <c r="C28" i="6" l="1"/>
  <c r="A29" i="6"/>
  <c r="D29" i="6" l="1"/>
  <c r="C29" i="6"/>
  <c r="AK17" i="2" l="1"/>
  <c r="AK25" i="2" s="1"/>
  <c r="AK31" i="2" s="1"/>
</calcChain>
</file>

<file path=xl/sharedStrings.xml><?xml version="1.0" encoding="utf-8"?>
<sst xmlns="http://schemas.openxmlformats.org/spreadsheetml/2006/main" count="814" uniqueCount="144">
  <si>
    <t>CHILE</t>
  </si>
  <si>
    <t>PHYSICAL SALES</t>
  </si>
  <si>
    <t>4Q18</t>
  </si>
  <si>
    <t>4Q19</t>
  </si>
  <si>
    <t>Var (%)</t>
  </si>
  <si>
    <t>Physical Sales</t>
  </si>
  <si>
    <t>1Q14</t>
  </si>
  <si>
    <t>2Q14</t>
  </si>
  <si>
    <t>3Q14</t>
  </si>
  <si>
    <t>4Q14</t>
  </si>
  <si>
    <t>1Q15</t>
  </si>
  <si>
    <t>2Q15</t>
  </si>
  <si>
    <t>3Q15</t>
  </si>
  <si>
    <t>4Q15</t>
  </si>
  <si>
    <t>1Q16</t>
  </si>
  <si>
    <t>2Q16</t>
  </si>
  <si>
    <t>3Q16</t>
  </si>
  <si>
    <t>4Q16</t>
  </si>
  <si>
    <t>1Q17</t>
  </si>
  <si>
    <t>2Q17</t>
  </si>
  <si>
    <t>3Q17</t>
  </si>
  <si>
    <t>4Q17</t>
  </si>
  <si>
    <t>1Q18</t>
  </si>
  <si>
    <t>2Q18</t>
  </si>
  <si>
    <t>3Q18</t>
  </si>
  <si>
    <t>1Q19</t>
  </si>
  <si>
    <t>2Q19</t>
  </si>
  <si>
    <t>3Q19</t>
  </si>
  <si>
    <t>(GWh)</t>
  </si>
  <si>
    <t>Total Physical Sales</t>
  </si>
  <si>
    <t>Regulated Customers</t>
  </si>
  <si>
    <t>Unregulated Customers</t>
  </si>
  <si>
    <t>Sales to the Spot Market</t>
  </si>
  <si>
    <t>Capacity Sales</t>
  </si>
  <si>
    <t>Total Generation</t>
  </si>
  <si>
    <t>Hydraulic</t>
  </si>
  <si>
    <t>Thermal</t>
  </si>
  <si>
    <t xml:space="preserve">    Gas</t>
  </si>
  <si>
    <t xml:space="preserve">    Diesel</t>
  </si>
  <si>
    <t xml:space="preserve">    Coal</t>
  </si>
  <si>
    <t>REVS</t>
  </si>
  <si>
    <t xml:space="preserve">    Wind Farm(*)</t>
  </si>
  <si>
    <t xml:space="preserve">    Solar</t>
  </si>
  <si>
    <t>Spot Market Purchases</t>
  </si>
  <si>
    <t>-</t>
  </si>
  <si>
    <t>Sales - Purchases to the Spot Market</t>
  </si>
  <si>
    <t>PERÚ</t>
  </si>
  <si>
    <t>Customers Under Contract</t>
  </si>
  <si>
    <t>Thermoelectric - Gas</t>
  </si>
  <si>
    <t>CONSOLIDATED</t>
  </si>
  <si>
    <t xml:space="preserve">COMPREHENSIVE INCOME STATEMENT </t>
  </si>
  <si>
    <t xml:space="preserve">2Q19 </t>
  </si>
  <si>
    <t>US$ million</t>
  </si>
  <si>
    <t>Operating Income</t>
  </si>
  <si>
    <t>Sales</t>
  </si>
  <si>
    <t>Other Operating Income</t>
  </si>
  <si>
    <t>Raw Material and Consumables Used</t>
  </si>
  <si>
    <t>Transmission Tolls</t>
  </si>
  <si>
    <t>Energy and Capacity Purchases</t>
  </si>
  <si>
    <t>Gas Consumption</t>
  </si>
  <si>
    <t>Diesel Consumption</t>
  </si>
  <si>
    <t>Coal Consumption</t>
  </si>
  <si>
    <t>Other Operating  Expenses</t>
  </si>
  <si>
    <t>Gross Profit</t>
  </si>
  <si>
    <t>Personnel Expenses</t>
  </si>
  <si>
    <t>Other Expenses, by Nature</t>
  </si>
  <si>
    <t>Depreciation and Amortization Expenses</t>
  </si>
  <si>
    <t>Operating Income (Loss)</t>
  </si>
  <si>
    <t>EBITDA</t>
  </si>
  <si>
    <t>Financial Income</t>
  </si>
  <si>
    <t>Financial Expenses</t>
  </si>
  <si>
    <t>Exchange rate Differences</t>
  </si>
  <si>
    <t>Profit (Loss) of Companies Accounted for Using the Equity Method</t>
  </si>
  <si>
    <t>Other Profit (Loss)</t>
  </si>
  <si>
    <t>Non-Operating Income</t>
  </si>
  <si>
    <t>Profit (Loss) Before Taxes</t>
  </si>
  <si>
    <t>Income Tax Expense</t>
  </si>
  <si>
    <t>Profit (Loss) After Tax</t>
  </si>
  <si>
    <t>Profit (Loss) Controller</t>
  </si>
  <si>
    <t>Profit (Loss) Atributtable to Minority Interest</t>
  </si>
  <si>
    <t>CHILE GX</t>
  </si>
  <si>
    <t>CHILE (GX + TX)</t>
  </si>
  <si>
    <t>ENERGY SALES</t>
  </si>
  <si>
    <t>VAR %</t>
  </si>
  <si>
    <t>OPERATING INCOME</t>
  </si>
  <si>
    <t>Regulated Customers Sales</t>
  </si>
  <si>
    <t>Nonregulated Customers Sales</t>
  </si>
  <si>
    <t>Energy and Capacity Sales</t>
  </si>
  <si>
    <t>RAW MATERIALS AND CONSUMABLES USED</t>
  </si>
  <si>
    <t>Other Operating Expenses</t>
  </si>
  <si>
    <t>GROSS PROFIT</t>
  </si>
  <si>
    <t>Other Expenses, by nature</t>
  </si>
  <si>
    <t>OPERATING INCOME (LOSS)</t>
  </si>
  <si>
    <t>CHILE TX</t>
  </si>
  <si>
    <t xml:space="preserve">3Q19 </t>
  </si>
  <si>
    <t>Sales to Other Generators</t>
  </si>
  <si>
    <t>NON-OPERATING INCOME</t>
  </si>
  <si>
    <t>|</t>
  </si>
  <si>
    <t>BALANCE SHEET (MAIN ACCOUNTS)</t>
  </si>
  <si>
    <t>Current assets</t>
  </si>
  <si>
    <t>Non-current assets</t>
  </si>
  <si>
    <t>TOTAL ASSETS</t>
  </si>
  <si>
    <t xml:space="preserve">Current liabilities </t>
  </si>
  <si>
    <t>Non-current liabilities</t>
  </si>
  <si>
    <t>Total equity</t>
  </si>
  <si>
    <t>TOTAL LIABILITIES AND NET EQUITY</t>
  </si>
  <si>
    <t xml:space="preserve">Non-current liabilities </t>
  </si>
  <si>
    <t xml:space="preserve">Total net equity </t>
  </si>
  <si>
    <t>MAIN DEBT ITEMS</t>
  </si>
  <si>
    <t>Gross Financial Debt</t>
  </si>
  <si>
    <t>Gross Financial Debt*</t>
  </si>
  <si>
    <t>Financial Investments</t>
  </si>
  <si>
    <t>Net Debt</t>
  </si>
  <si>
    <t>EBITDA LTM</t>
  </si>
  <si>
    <t>Net Debt/EBITDA LTM (x)</t>
  </si>
  <si>
    <t>* Includes capitalised expenses.</t>
  </si>
  <si>
    <t>AMORTIZATION PROFILE (*)</t>
  </si>
  <si>
    <t xml:space="preserve">Colbun </t>
  </si>
  <si>
    <t xml:space="preserve">Fenix </t>
  </si>
  <si>
    <t>(*) Leasings, accrued interests and activated expenses are not included.</t>
  </si>
  <si>
    <t>CASH FLOW</t>
  </si>
  <si>
    <t xml:space="preserve">Cash Equivalents, Beg. of Period </t>
  </si>
  <si>
    <t xml:space="preserve">Net cash flows provided by (used in) operating activities </t>
  </si>
  <si>
    <t xml:space="preserve">Net cash flows provided by (used in) financing activities </t>
  </si>
  <si>
    <t>Net cash flows provided by (used in) investing activities</t>
  </si>
  <si>
    <t>Net Cash Flows for the Period</t>
  </si>
  <si>
    <t>Effects of exchange rate changes on cash and cash equivalents</t>
  </si>
  <si>
    <t xml:space="preserve">Cash Equivalents, End of Period </t>
  </si>
  <si>
    <t>1Q20</t>
  </si>
  <si>
    <t>(*) Regarding Fenix’s Financial Statements, for the second quarter of 2019 the following is worth to mention: 
(1) As of June 2019, a reclassification of toll’s revenues and costs was made at Fenix subsidiary level in Peru, presenting the net effect of these items. Prior to that date, income and costs were presented separately in the Income Statement. For comparative purposes, the same reclassification was made in the 1Q19’s figures presented in this file.                                                                                                                                                                                                                                                                                                                                           (2)As of June 2019, the gas contract with Calidda, in Peru, began to be recognized as a financial lease, due to the entry into force of IFRS16 accounting regulations. It should be noted that, on that date, the accounting impacts were recorded retroactively for the year 2019. For comparative purposes, the same classification was made in the 1Q19 figures presented in this file. More detail in the Appendix at the end of the Earnings Report</t>
  </si>
  <si>
    <t>2Q20</t>
  </si>
  <si>
    <t xml:space="preserve">(*): The subtotal shown in “OPERATING INCOME” presented herein, differs from the “Profit (loss) from operating activities” line presented in the Financial Statements. This is explained by a change in taxonomy dictated by the CMF (Financial Market Commission), by means of which the concept of “Other Profit (loss)”, which in the case of Colbún are only non-operating items, was incorporated as an operating item in the Financial Statements. </t>
  </si>
  <si>
    <t>(*): The subtotal shown in “OPERATING INCOME” presented herein, differs from the “Profit (loss) from operating activities” line presented in the Financial Statements. This is explained by a change in taxonomy dictated by the CMF (Financial Market Commission), by means of which the concept of “Other Profit (loss)”, which in the case of Colbún are only non-operating items, was incorporated as an operating item in the Financial Statements.</t>
  </si>
  <si>
    <t>(*) The account “Financial Investments” presented includes the amount associated to time deposits that, by having an investment term of more than 90 days, are recorded as “Other Current Financial Assets” in the Financial Statements.</t>
  </si>
  <si>
    <t>(*) The account “Cash and Cash Equivalents” presented includes the amount associated to time deposits that, by having an investment term of more than 90 days, are recorded as “Other Current Financial Assets” in the Financial Statements.
(**) "Cash Flow from Investing Activities" differs from the Financial Statements since it does not incorporate the amount associated with deposits with maturity over 90 days.</t>
  </si>
  <si>
    <t>Net cash flows provided by (used in) investing activities**</t>
  </si>
  <si>
    <t>Cash Equivalents, Beg. of Period*</t>
  </si>
  <si>
    <t>Net cash flows provided by (used in) financing activities</t>
  </si>
  <si>
    <t>Net cash flows provided by (used in) financing activities**</t>
  </si>
  <si>
    <t>3Q20</t>
  </si>
  <si>
    <t>(*) Corresponds to the energy purchased from the Punta Palmeras wind farm owned by Acciona and San Pedro, owned by Alba S.A.</t>
  </si>
  <si>
    <t>4Q20</t>
  </si>
  <si>
    <t xml:space="preserve">4Q19 </t>
  </si>
  <si>
    <t>1Q21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</si>
</sst>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1" formatCode="_ * #,##0_ ;_ * \-#,##0_ ;_ * &quot;-&quot;_ ;_ @_ "/>
    <numFmt numFmtId="43" formatCode="_ * #,##0.00_ ;_ * \-#,##0.00_ ;_ * &quot;-&quot;??_ ;_ @_ "/>
    <numFmt numFmtId="164" formatCode="_-* #,##0.00_-;\-* #,##0.00_-;_-* &quot;-&quot;??_-;_-@_-"/>
    <numFmt numFmtId="165" formatCode="_(* #,##0.00_);_(* \(#,##0.00\);_(* &quot;-&quot;??_);_(@_)"/>
    <numFmt numFmtId="166" formatCode="0.0"/>
    <numFmt numFmtId="167" formatCode="_(* #,##0.0_);_(* \(#,##0.0\);_(* &quot;-&quot;??_);_(@_)"/>
    <numFmt numFmtId="168" formatCode="_ * #,##0.0_ ;_ * \-#,##0.0_ ;_ * &quot;-&quot;_ ;_ @_ "/>
    <numFmt numFmtId="169" formatCode="_(* #,##0_);_(* \(#,##0\);_(* &quot;-&quot;??_);_(@_)"/>
    <numFmt numFmtId="170" formatCode="0%_);\(0%\)"/>
    <numFmt numFmtId="171" formatCode="0.000"/>
    <numFmt numFmtId="172" formatCode="_ * #,##0.0_ ;_ * \-#,##0.0_ ;_ * &quot;-&quot;?_ ;_ @_ "/>
    <numFmt numFmtId="173" formatCode="\-"/>
    <numFmt numFmtId="174" formatCode="_-[$€-2]\ * #,##0.00_-;\-[$€-2]\ * #,##0.00_-;_-[$€-2]\ * &quot;-&quot;??_-"/>
    <numFmt numFmtId="175" formatCode="#,##0.0"/>
    <numFmt numFmtId="176" formatCode="_-* #,##0.0_-;\-* #,##0.0_-;_-* &quot;-&quot;?_-;_-@_-"/>
    <numFmt numFmtId="177" formatCode="_-* #,##0_-;\-* #,##0_-;_-* &quot;-&quot;??_-;_-@_-"/>
  </numFmts>
  <fonts count="15" x14ac:knownFonts="1">
    <font>
      <sz val="11"/>
      <color theme="1"/>
      <name val="Calibri"/>
      <family val="2"/>
      <scheme val="minor"/>
    </font>
    <font>
      <sz val="11"/>
      <color theme="1"/>
      <name val="Calibri"/>
      <family val="2"/>
      <scheme val="minor"/>
    </font>
    <font>
      <sz val="10"/>
      <color theme="1" tint="0.34998626667073579"/>
      <name val="Trebuchet MS"/>
      <family val="2"/>
    </font>
    <font>
      <sz val="8"/>
      <color theme="1"/>
      <name val="Arial"/>
      <family val="2"/>
    </font>
    <font>
      <b/>
      <sz val="10"/>
      <color theme="0"/>
      <name val="Trebuchet MS"/>
      <family val="2"/>
    </font>
    <font>
      <b/>
      <sz val="18"/>
      <color theme="0"/>
      <name val="Calibri"/>
      <family val="2"/>
      <scheme val="minor"/>
    </font>
    <font>
      <b/>
      <sz val="10"/>
      <color theme="1" tint="0.34998626667073579"/>
      <name val="Trebuchet MS"/>
      <family val="2"/>
    </font>
    <font>
      <sz val="12"/>
      <name val="Times New Roman"/>
      <family val="1"/>
    </font>
    <font>
      <sz val="10"/>
      <name val="Arial"/>
      <family val="2"/>
    </font>
    <font>
      <sz val="10"/>
      <color theme="1"/>
      <name val="Trebuchet MS"/>
      <family val="2"/>
    </font>
    <font>
      <sz val="10"/>
      <color theme="0" tint="-0.249977111117893"/>
      <name val="Trebuchet MS"/>
      <family val="2"/>
    </font>
    <font>
      <sz val="11"/>
      <color theme="1" tint="0.34998626667073579"/>
      <name val="Trebuchet MS"/>
      <family val="2"/>
    </font>
    <font>
      <sz val="9"/>
      <color theme="1" tint="0.34998626667073579"/>
      <name val="Trebuchet MS"/>
      <family val="2"/>
    </font>
    <font>
      <sz val="11"/>
      <color indexed="8"/>
      <name val="Calibri"/>
      <family val="2"/>
    </font>
    <font>
      <sz val="8"/>
      <name val="Calibri"/>
      <family val="2"/>
      <scheme val="minor"/>
    </font>
  </fonts>
  <fills count="8">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3"/>
        <bgColor indexed="64"/>
      </patternFill>
    </fill>
    <fill>
      <patternFill patternType="solid">
        <fgColor theme="4"/>
        <bgColor indexed="64"/>
      </patternFill>
    </fill>
    <fill>
      <patternFill patternType="solid">
        <fgColor rgb="FF00B050"/>
        <bgColor indexed="64"/>
      </patternFill>
    </fill>
    <fill>
      <patternFill patternType="solid">
        <fgColor theme="0" tint="-4.9989318521683403E-2"/>
        <bgColor indexed="64"/>
      </patternFill>
    </fill>
  </fills>
  <borders count="1">
    <border>
      <left/>
      <right/>
      <top/>
      <bottom/>
      <diagonal/>
    </border>
  </borders>
  <cellStyleXfs count="23">
    <xf numFmtId="0" fontId="0" fillId="0" borderId="0"/>
    <xf numFmtId="41" fontId="1" fillId="0" borderId="0" applyFont="0" applyFill="0" applyBorder="0" applyAlignment="0" applyProtection="0"/>
    <xf numFmtId="9" fontId="1" fillId="0" borderId="0" applyFont="0" applyFill="0" applyBorder="0" applyAlignment="0" applyProtection="0"/>
    <xf numFmtId="0" fontId="3" fillId="0" borderId="0"/>
    <xf numFmtId="164" fontId="8" fillId="0" borderId="0" applyFont="0" applyFill="0" applyBorder="0" applyAlignment="0" applyProtection="0"/>
    <xf numFmtId="164" fontId="1" fillId="0" borderId="0" applyFont="0" applyFill="0" applyBorder="0" applyAlignment="0" applyProtection="0"/>
    <xf numFmtId="169" fontId="7" fillId="0" borderId="0" applyFont="0" applyFill="0" applyBorder="0" applyAlignment="0" applyProtection="0"/>
    <xf numFmtId="0" fontId="8" fillId="0" borderId="0"/>
    <xf numFmtId="164" fontId="8" fillId="0" borderId="0" applyFont="0" applyFill="0" applyBorder="0" applyAlignment="0" applyProtection="0"/>
    <xf numFmtId="165" fontId="1" fillId="0" borderId="0" applyFont="0" applyFill="0" applyBorder="0" applyAlignment="0" applyProtection="0"/>
    <xf numFmtId="0" fontId="8" fillId="0" borderId="0"/>
    <xf numFmtId="174" fontId="8"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0" fontId="1" fillId="0" borderId="0"/>
    <xf numFmtId="0" fontId="8" fillId="0" borderId="0"/>
    <xf numFmtId="0" fontId="1" fillId="0" borderId="0"/>
    <xf numFmtId="0" fontId="8" fillId="0" borderId="0"/>
    <xf numFmtId="9" fontId="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8" fillId="0" borderId="0"/>
    <xf numFmtId="164" fontId="8" fillId="0" borderId="0" applyFont="0" applyFill="0" applyBorder="0" applyAlignment="0" applyProtection="0"/>
  </cellStyleXfs>
  <cellXfs count="106">
    <xf numFmtId="0" fontId="0" fillId="0" borderId="0" xfId="0"/>
    <xf numFmtId="0" fontId="2" fillId="3" borderId="0" xfId="0" applyFont="1" applyFill="1"/>
    <xf numFmtId="0" fontId="4" fillId="5" borderId="0" xfId="0" applyFont="1" applyFill="1" applyAlignment="1">
      <alignment horizontal="left"/>
    </xf>
    <xf numFmtId="0" fontId="4" fillId="4" borderId="0" xfId="0" applyFont="1" applyFill="1"/>
    <xf numFmtId="17" fontId="2" fillId="2" borderId="0" xfId="0" applyNumberFormat="1" applyFont="1" applyFill="1"/>
    <xf numFmtId="0" fontId="2" fillId="2" borderId="0" xfId="0" applyFont="1" applyFill="1"/>
    <xf numFmtId="0" fontId="4" fillId="5" borderId="0" xfId="0" applyFont="1" applyFill="1"/>
    <xf numFmtId="166" fontId="2" fillId="2" borderId="0" xfId="0" applyNumberFormat="1" applyFont="1" applyFill="1"/>
    <xf numFmtId="167" fontId="2" fillId="2" borderId="0" xfId="0" applyNumberFormat="1" applyFont="1" applyFill="1" applyBorder="1" applyAlignment="1">
      <alignment horizontal="right" vertical="center"/>
    </xf>
    <xf numFmtId="167" fontId="4" fillId="5" borderId="0" xfId="0" applyNumberFormat="1" applyFont="1" applyFill="1"/>
    <xf numFmtId="166" fontId="4" fillId="4" borderId="0" xfId="0" applyNumberFormat="1" applyFont="1" applyFill="1"/>
    <xf numFmtId="9" fontId="4" fillId="5" borderId="0" xfId="2" applyFont="1" applyFill="1"/>
    <xf numFmtId="0" fontId="5" fillId="6" borderId="0" xfId="0" applyFont="1" applyFill="1"/>
    <xf numFmtId="0" fontId="2" fillId="6" borderId="0" xfId="0" applyFont="1" applyFill="1"/>
    <xf numFmtId="168" fontId="2" fillId="2" borderId="0" xfId="1" applyNumberFormat="1" applyFont="1" applyFill="1"/>
    <xf numFmtId="168" fontId="2" fillId="3" borderId="0" xfId="1" applyNumberFormat="1" applyFont="1" applyFill="1"/>
    <xf numFmtId="168" fontId="4" fillId="5" borderId="0" xfId="1" applyNumberFormat="1" applyFont="1" applyFill="1"/>
    <xf numFmtId="167" fontId="4" fillId="4" borderId="0" xfId="0" applyNumberFormat="1" applyFont="1" applyFill="1"/>
    <xf numFmtId="166" fontId="2" fillId="2" borderId="0" xfId="1" applyNumberFormat="1" applyFont="1" applyFill="1" applyBorder="1" applyAlignment="1">
      <alignment horizontal="right" vertical="center"/>
    </xf>
    <xf numFmtId="166" fontId="4" fillId="5" borderId="0" xfId="1" applyNumberFormat="1" applyFont="1" applyFill="1"/>
    <xf numFmtId="0" fontId="6" fillId="7" borderId="0" xfId="0" applyFont="1" applyFill="1"/>
    <xf numFmtId="167" fontId="6" fillId="7" borderId="0" xfId="0" applyNumberFormat="1" applyFont="1" applyFill="1" applyBorder="1" applyAlignment="1">
      <alignment horizontal="right" vertical="center"/>
    </xf>
    <xf numFmtId="166" fontId="2" fillId="3" borderId="0" xfId="1" applyNumberFormat="1" applyFont="1" applyFill="1"/>
    <xf numFmtId="166" fontId="6" fillId="7" borderId="0" xfId="1" applyNumberFormat="1" applyFont="1" applyFill="1" applyBorder="1" applyAlignment="1">
      <alignment horizontal="right" vertical="center"/>
    </xf>
    <xf numFmtId="169" fontId="4" fillId="5" borderId="0" xfId="0" applyNumberFormat="1" applyFont="1" applyFill="1"/>
    <xf numFmtId="169" fontId="2" fillId="2" borderId="0" xfId="0" applyNumberFormat="1" applyFont="1" applyFill="1" applyBorder="1" applyAlignment="1">
      <alignment horizontal="right" vertical="center"/>
    </xf>
    <xf numFmtId="169" fontId="2" fillId="3" borderId="0" xfId="0" applyNumberFormat="1" applyFont="1" applyFill="1"/>
    <xf numFmtId="169" fontId="6" fillId="7" borderId="0" xfId="0" applyNumberFormat="1" applyFont="1" applyFill="1" applyBorder="1" applyAlignment="1">
      <alignment horizontal="right" vertical="center"/>
    </xf>
    <xf numFmtId="0" fontId="6" fillId="2" borderId="0" xfId="0" applyFont="1" applyFill="1"/>
    <xf numFmtId="169" fontId="6" fillId="2" borderId="0" xfId="0" applyNumberFormat="1" applyFont="1" applyFill="1" applyBorder="1" applyAlignment="1">
      <alignment horizontal="right" vertical="center"/>
    </xf>
    <xf numFmtId="1" fontId="2" fillId="2" borderId="0" xfId="0" applyNumberFormat="1" applyFont="1" applyFill="1" applyBorder="1" applyAlignment="1">
      <alignment horizontal="right" vertical="center"/>
    </xf>
    <xf numFmtId="1" fontId="6" fillId="2" borderId="0" xfId="0" applyNumberFormat="1" applyFont="1" applyFill="1" applyBorder="1" applyAlignment="1">
      <alignment horizontal="right" vertical="center"/>
    </xf>
    <xf numFmtId="166" fontId="4" fillId="5" borderId="0" xfId="0" applyNumberFormat="1" applyFont="1" applyFill="1"/>
    <xf numFmtId="166" fontId="2" fillId="3" borderId="0" xfId="0" applyNumberFormat="1" applyFont="1" applyFill="1"/>
    <xf numFmtId="166" fontId="2" fillId="2" borderId="0" xfId="0" applyNumberFormat="1" applyFont="1" applyFill="1" applyBorder="1" applyAlignment="1">
      <alignment horizontal="right" vertical="center"/>
    </xf>
    <xf numFmtId="166" fontId="6" fillId="7" borderId="0" xfId="0" applyNumberFormat="1" applyFont="1" applyFill="1" applyBorder="1" applyAlignment="1">
      <alignment horizontal="right" vertical="center"/>
    </xf>
    <xf numFmtId="170" fontId="2" fillId="2" borderId="0" xfId="2" applyNumberFormat="1" applyFont="1" applyFill="1"/>
    <xf numFmtId="170" fontId="2" fillId="2" borderId="0" xfId="2" applyNumberFormat="1" applyFont="1" applyFill="1" applyBorder="1" applyAlignment="1">
      <alignment horizontal="right" vertical="center"/>
    </xf>
    <xf numFmtId="170" fontId="4" fillId="5" borderId="0" xfId="2" applyNumberFormat="1" applyFont="1" applyFill="1"/>
    <xf numFmtId="170" fontId="2" fillId="3" borderId="0" xfId="0" applyNumberFormat="1" applyFont="1" applyFill="1"/>
    <xf numFmtId="170" fontId="2" fillId="3" borderId="0" xfId="2" applyNumberFormat="1" applyFont="1" applyFill="1"/>
    <xf numFmtId="0" fontId="4" fillId="3" borderId="0" xfId="0" applyFont="1" applyFill="1" applyAlignment="1">
      <alignment horizontal="left"/>
    </xf>
    <xf numFmtId="167" fontId="4" fillId="3" borderId="0" xfId="0" applyNumberFormat="1" applyFont="1" applyFill="1"/>
    <xf numFmtId="170" fontId="4" fillId="3" borderId="0" xfId="2" applyNumberFormat="1" applyFont="1" applyFill="1"/>
    <xf numFmtId="167" fontId="2" fillId="2" borderId="0" xfId="0" applyNumberFormat="1" applyFont="1" applyFill="1"/>
    <xf numFmtId="166" fontId="4" fillId="3" borderId="0" xfId="0" applyNumberFormat="1" applyFont="1" applyFill="1"/>
    <xf numFmtId="170" fontId="2" fillId="2" borderId="0" xfId="0" applyNumberFormat="1" applyFont="1" applyFill="1" applyBorder="1" applyAlignment="1">
      <alignment horizontal="right" vertical="center"/>
    </xf>
    <xf numFmtId="0" fontId="9" fillId="3" borderId="0" xfId="0" applyFont="1" applyFill="1"/>
    <xf numFmtId="43" fontId="2" fillId="3" borderId="0" xfId="0" applyNumberFormat="1" applyFont="1" applyFill="1"/>
    <xf numFmtId="170" fontId="2" fillId="2" borderId="0" xfId="2" applyNumberFormat="1" applyFont="1" applyFill="1" applyAlignment="1">
      <alignment horizontal="right"/>
    </xf>
    <xf numFmtId="167" fontId="4" fillId="4" borderId="0" xfId="0" applyNumberFormat="1" applyFont="1" applyFill="1" applyBorder="1" applyAlignment="1">
      <alignment horizontal="right" vertical="center"/>
    </xf>
    <xf numFmtId="170" fontId="4" fillId="4" borderId="0" xfId="2" applyNumberFormat="1" applyFont="1" applyFill="1" applyAlignment="1">
      <alignment horizontal="right"/>
    </xf>
    <xf numFmtId="171" fontId="2" fillId="3" borderId="0" xfId="0" applyNumberFormat="1" applyFont="1" applyFill="1"/>
    <xf numFmtId="167" fontId="2" fillId="3" borderId="0" xfId="0" applyNumberFormat="1" applyFont="1" applyFill="1"/>
    <xf numFmtId="172" fontId="2" fillId="3" borderId="0" xfId="0" applyNumberFormat="1" applyFont="1" applyFill="1"/>
    <xf numFmtId="9" fontId="2" fillId="3" borderId="0" xfId="2" applyFont="1" applyFill="1"/>
    <xf numFmtId="170" fontId="6" fillId="7" borderId="0" xfId="2" applyNumberFormat="1" applyFont="1" applyFill="1" applyAlignment="1">
      <alignment horizontal="right"/>
    </xf>
    <xf numFmtId="41" fontId="2" fillId="2" borderId="0" xfId="1" applyFont="1" applyFill="1" applyAlignment="1">
      <alignment horizontal="right"/>
    </xf>
    <xf numFmtId="41" fontId="2" fillId="2" borderId="0" xfId="1" applyFont="1" applyFill="1"/>
    <xf numFmtId="1" fontId="6" fillId="2" borderId="0" xfId="1" applyNumberFormat="1" applyFont="1" applyFill="1" applyBorder="1" applyAlignment="1">
      <alignment vertical="center"/>
    </xf>
    <xf numFmtId="0" fontId="2" fillId="3" borderId="0" xfId="0" applyFont="1" applyFill="1" applyAlignment="1">
      <alignment horizontal="center"/>
    </xf>
    <xf numFmtId="169" fontId="4" fillId="5" borderId="0" xfId="0" applyNumberFormat="1" applyFont="1" applyFill="1" applyAlignment="1">
      <alignment horizontal="center"/>
    </xf>
    <xf numFmtId="170" fontId="4" fillId="5" borderId="0" xfId="2" applyNumberFormat="1" applyFont="1" applyFill="1" applyAlignment="1">
      <alignment horizontal="center"/>
    </xf>
    <xf numFmtId="169" fontId="2" fillId="2" borderId="0" xfId="0" applyNumberFormat="1" applyFont="1" applyFill="1" applyBorder="1" applyAlignment="1">
      <alignment horizontal="center" vertical="center"/>
    </xf>
    <xf numFmtId="170" fontId="2" fillId="2" borderId="0" xfId="2" applyNumberFormat="1" applyFont="1" applyFill="1" applyAlignment="1">
      <alignment horizontal="center"/>
    </xf>
    <xf numFmtId="9" fontId="2" fillId="2" borderId="0" xfId="2" applyFont="1" applyFill="1" applyBorder="1" applyAlignment="1">
      <alignment horizontal="center" vertical="center"/>
    </xf>
    <xf numFmtId="169" fontId="6" fillId="2" borderId="0" xfId="0" applyNumberFormat="1" applyFont="1" applyFill="1" applyBorder="1" applyAlignment="1">
      <alignment horizontal="center" vertical="center"/>
    </xf>
    <xf numFmtId="169" fontId="2" fillId="3" borderId="0" xfId="0" applyNumberFormat="1" applyFont="1" applyFill="1" applyAlignment="1">
      <alignment horizontal="center"/>
    </xf>
    <xf numFmtId="9" fontId="2" fillId="2" borderId="0" xfId="2" applyFont="1" applyFill="1" applyAlignment="1">
      <alignment horizontal="center"/>
    </xf>
    <xf numFmtId="170" fontId="6" fillId="2" borderId="0" xfId="2" applyNumberFormat="1" applyFont="1" applyFill="1" applyAlignment="1">
      <alignment horizontal="center"/>
    </xf>
    <xf numFmtId="169" fontId="6" fillId="7" borderId="0" xfId="0" applyNumberFormat="1" applyFont="1" applyFill="1" applyBorder="1" applyAlignment="1">
      <alignment horizontal="center" vertical="center"/>
    </xf>
    <xf numFmtId="170" fontId="6" fillId="7" borderId="0" xfId="2" applyNumberFormat="1" applyFont="1" applyFill="1" applyAlignment="1">
      <alignment horizontal="center"/>
    </xf>
    <xf numFmtId="0" fontId="10" fillId="3" borderId="0" xfId="0" applyFont="1" applyFill="1"/>
    <xf numFmtId="3" fontId="2" fillId="2" borderId="0" xfId="0" applyNumberFormat="1" applyFont="1" applyFill="1" applyBorder="1" applyAlignment="1">
      <alignment horizontal="right" vertical="center"/>
    </xf>
    <xf numFmtId="173" fontId="2" fillId="2" borderId="0" xfId="0" applyNumberFormat="1" applyFont="1" applyFill="1"/>
    <xf numFmtId="0" fontId="4" fillId="4" borderId="0" xfId="0" applyFont="1" applyFill="1" applyAlignment="1">
      <alignment horizontal="center" vertical="center"/>
    </xf>
    <xf numFmtId="169" fontId="2" fillId="6" borderId="0" xfId="9" applyNumberFormat="1" applyFont="1" applyFill="1" applyAlignment="1">
      <alignment horizontal="center" vertical="center"/>
    </xf>
    <xf numFmtId="169" fontId="2" fillId="3" borderId="0" xfId="9" applyNumberFormat="1" applyFont="1" applyFill="1" applyAlignment="1">
      <alignment horizontal="center" vertical="center"/>
    </xf>
    <xf numFmtId="169" fontId="4" fillId="5" borderId="0" xfId="9" applyNumberFormat="1" applyFont="1" applyFill="1" applyAlignment="1">
      <alignment horizontal="center" vertical="center"/>
    </xf>
    <xf numFmtId="169" fontId="2" fillId="2" borderId="0" xfId="9" applyNumberFormat="1" applyFont="1" applyFill="1" applyBorder="1" applyAlignment="1">
      <alignment horizontal="center" vertical="center"/>
    </xf>
    <xf numFmtId="169" fontId="6" fillId="2" borderId="0" xfId="9" applyNumberFormat="1" applyFont="1" applyFill="1" applyBorder="1" applyAlignment="1">
      <alignment horizontal="center" vertical="center"/>
    </xf>
    <xf numFmtId="169" fontId="6" fillId="7" borderId="0" xfId="9" applyNumberFormat="1" applyFont="1" applyFill="1" applyBorder="1" applyAlignment="1">
      <alignment horizontal="center" vertical="center"/>
    </xf>
    <xf numFmtId="170" fontId="2" fillId="2" borderId="0" xfId="2" applyNumberFormat="1" applyFont="1" applyFill="1" applyAlignment="1">
      <alignment horizontal="right" vertical="center"/>
    </xf>
    <xf numFmtId="167" fontId="2" fillId="3" borderId="0" xfId="9" applyNumberFormat="1" applyFont="1" applyFill="1"/>
    <xf numFmtId="175" fontId="2" fillId="2" borderId="0" xfId="0" applyNumberFormat="1" applyFont="1" applyFill="1"/>
    <xf numFmtId="166" fontId="2" fillId="2" borderId="0" xfId="0" applyNumberFormat="1" applyFont="1" applyFill="1" applyAlignment="1">
      <alignment horizontal="right"/>
    </xf>
    <xf numFmtId="167" fontId="2" fillId="2" borderId="0" xfId="0" applyNumberFormat="1" applyFont="1" applyFill="1" applyAlignment="1">
      <alignment horizontal="right"/>
    </xf>
    <xf numFmtId="9" fontId="6" fillId="2" borderId="0" xfId="2" applyFont="1" applyFill="1" applyAlignment="1">
      <alignment horizontal="center"/>
    </xf>
    <xf numFmtId="170" fontId="4" fillId="4" borderId="0" xfId="2" applyNumberFormat="1" applyFont="1" applyFill="1" applyAlignment="1">
      <alignment horizontal="center"/>
    </xf>
    <xf numFmtId="170" fontId="2" fillId="3" borderId="0" xfId="0" applyNumberFormat="1" applyFont="1" applyFill="1" applyAlignment="1">
      <alignment horizontal="center"/>
    </xf>
    <xf numFmtId="176" fontId="2" fillId="3" borderId="0" xfId="0" applyNumberFormat="1" applyFont="1" applyFill="1"/>
    <xf numFmtId="167" fontId="2" fillId="0" borderId="0" xfId="0" applyNumberFormat="1" applyFont="1" applyFill="1" applyBorder="1" applyAlignment="1">
      <alignment horizontal="right" vertical="center"/>
    </xf>
    <xf numFmtId="164" fontId="2" fillId="3" borderId="0" xfId="0" applyNumberFormat="1" applyFont="1" applyFill="1"/>
    <xf numFmtId="9" fontId="2" fillId="3" borderId="0" xfId="2" applyNumberFormat="1" applyFont="1" applyFill="1"/>
    <xf numFmtId="167" fontId="2" fillId="3" borderId="0" xfId="2" applyNumberFormat="1" applyFont="1" applyFill="1"/>
    <xf numFmtId="9" fontId="2" fillId="2" borderId="0" xfId="2" applyFont="1" applyFill="1"/>
    <xf numFmtId="170" fontId="4" fillId="5" borderId="0" xfId="2" applyNumberFormat="1" applyFont="1" applyFill="1" applyAlignment="1">
      <alignment horizontal="right"/>
    </xf>
    <xf numFmtId="177" fontId="11" fillId="2" borderId="0" xfId="8" applyNumberFormat="1" applyFont="1" applyFill="1"/>
    <xf numFmtId="41" fontId="11" fillId="2" borderId="0" xfId="1" applyFont="1" applyFill="1"/>
    <xf numFmtId="0" fontId="4" fillId="4" borderId="0" xfId="0" applyFont="1" applyFill="1" applyAlignment="1">
      <alignment horizontal="center" vertical="center"/>
    </xf>
    <xf numFmtId="169" fontId="4" fillId="4" borderId="0" xfId="9" applyNumberFormat="1" applyFont="1" applyFill="1" applyAlignment="1">
      <alignment horizontal="center" vertical="center"/>
    </xf>
    <xf numFmtId="0" fontId="4" fillId="4" borderId="0" xfId="0" applyFont="1" applyFill="1" applyAlignment="1">
      <alignment horizontal="center" vertical="center" wrapText="1"/>
    </xf>
    <xf numFmtId="0" fontId="2" fillId="3" borderId="0" xfId="0" applyFont="1" applyFill="1" applyAlignment="1">
      <alignment horizontal="left" vertical="top" wrapText="1"/>
    </xf>
    <xf numFmtId="49" fontId="4" fillId="4" borderId="0" xfId="0" applyNumberFormat="1" applyFont="1" applyFill="1" applyAlignment="1">
      <alignment horizontal="center" vertical="center"/>
    </xf>
    <xf numFmtId="0" fontId="12" fillId="3" borderId="0" xfId="0" applyFont="1" applyFill="1" applyAlignment="1">
      <alignment horizontal="left" vertical="top" wrapText="1"/>
    </xf>
    <xf numFmtId="0" fontId="2" fillId="3" borderId="0" xfId="0" applyFont="1" applyFill="1" applyAlignment="1">
      <alignment horizontal="left" vertical="top"/>
    </xf>
  </cellXfs>
  <cellStyles count="23">
    <cellStyle name="Comma [0]_resultado" xfId="6" xr:uid="{00000000-0005-0000-0000-000000000000}"/>
    <cellStyle name="Euro" xfId="11" xr:uid="{C5877E21-ABC9-497F-BF5A-084DF3FF0D2F}"/>
    <cellStyle name="Millares" xfId="9" builtinId="3"/>
    <cellStyle name="Millares [0]" xfId="1" builtinId="6"/>
    <cellStyle name="Millares 10" xfId="8" xr:uid="{00000000-0005-0000-0000-000002000000}"/>
    <cellStyle name="Millares 2" xfId="12" xr:uid="{1694D96B-60F6-409F-8F93-1F8A00E6B71B}"/>
    <cellStyle name="Millares 2 2 2" xfId="22" xr:uid="{6A35A654-2388-42FD-AEF5-0E15CB84F013}"/>
    <cellStyle name="Millares 3" xfId="13" xr:uid="{23962785-C379-4192-BFA6-F1803CECF7D5}"/>
    <cellStyle name="Millares 3 2" xfId="4" xr:uid="{00000000-0005-0000-0000-000003000000}"/>
    <cellStyle name="Millares 4" xfId="5" xr:uid="{00000000-0005-0000-0000-000004000000}"/>
    <cellStyle name="Normal" xfId="0" builtinId="0"/>
    <cellStyle name="Normal 2" xfId="14" xr:uid="{7BB9EF13-2D0B-4F5D-AF8C-EAD5579ED2D5}"/>
    <cellStyle name="Normal 2 2" xfId="15" xr:uid="{7ED2AA86-1A77-4072-B12F-B706E98E16B1}"/>
    <cellStyle name="Normal 2 2 2" xfId="21" xr:uid="{12666545-8F8D-45A2-8F45-A58337AFC9F1}"/>
    <cellStyle name="Normal 3" xfId="3" xr:uid="{00000000-0005-0000-0000-000006000000}"/>
    <cellStyle name="Normal 3 2" xfId="17" xr:uid="{CB162DA9-D97C-4068-AD6A-59E81AB734A0}"/>
    <cellStyle name="Normal 3 3" xfId="16" xr:uid="{8191A737-ECA7-4746-A313-71CC361E0830}"/>
    <cellStyle name="Normal 4" xfId="7" xr:uid="{00000000-0005-0000-0000-000007000000}"/>
    <cellStyle name="Normal 5" xfId="10" xr:uid="{8CB4D6BC-2280-4CAA-9E1B-3A1643DFD902}"/>
    <cellStyle name="Porcentaje" xfId="2" builtinId="5"/>
    <cellStyle name="Porcentaje 2" xfId="18" xr:uid="{364D6120-1485-4887-BD50-B12D1F56831F}"/>
    <cellStyle name="Porcentual 2" xfId="19" xr:uid="{D571196B-CDCB-4309-8F2A-30F1AB416243}"/>
    <cellStyle name="Porcentual 3" xfId="20" xr:uid="{DE181A79-5013-4017-A6CB-0AEEEC74678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1" Type="http://schemas.openxmlformats.org/officeDocument/2006/relationships/image" Target="../media/image1.tiff"/></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tiff"/></Relationships>
</file>

<file path=xl/drawings/_rels/drawing4.xml.rels><?xml version="1.0" encoding="UTF-8" standalone="yes"?>
<Relationships xmlns="http://schemas.openxmlformats.org/package/2006/relationships"><Relationship Id="rId2" Type="http://schemas.openxmlformats.org/officeDocument/2006/relationships/image" Target="../media/image1.tiff"/><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1.tiff"/><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tiff"/></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tiff"/></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editAs="oneCell">
    <xdr:from>
      <xdr:col>1</xdr:col>
      <xdr:colOff>107157</xdr:colOff>
      <xdr:row>0</xdr:row>
      <xdr:rowOff>71438</xdr:rowOff>
    </xdr:from>
    <xdr:to>
      <xdr:col>1</xdr:col>
      <xdr:colOff>1373029</xdr:colOff>
      <xdr:row>2</xdr:row>
      <xdr:rowOff>130996</xdr:rowOff>
    </xdr:to>
    <xdr:pic>
      <xdr:nvPicPr>
        <xdr:cNvPr id="4" name="Imagen 3" descr="Colbún logotipo H ME.tif">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07157" y="71438"/>
          <a:ext cx="1262062" cy="444368"/>
        </a:xfrm>
        <a:prstGeom prst="rect">
          <a:avLst/>
        </a:prstGeom>
      </xdr:spPr>
    </xdr:pic>
    <xdr:clientData/>
  </xdr:twoCellAnchor>
  <xdr:twoCellAnchor editAs="oneCell">
    <xdr:from>
      <xdr:col>1</xdr:col>
      <xdr:colOff>0</xdr:colOff>
      <xdr:row>29</xdr:row>
      <xdr:rowOff>142875</xdr:rowOff>
    </xdr:from>
    <xdr:to>
      <xdr:col>1</xdr:col>
      <xdr:colOff>1333500</xdr:colOff>
      <xdr:row>33</xdr:row>
      <xdr:rowOff>36299</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4667250"/>
          <a:ext cx="1333500" cy="6554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116417</xdr:colOff>
      <xdr:row>0</xdr:row>
      <xdr:rowOff>74083</xdr:rowOff>
    </xdr:from>
    <xdr:to>
      <xdr:col>1</xdr:col>
      <xdr:colOff>1388004</xdr:colOff>
      <xdr:row>2</xdr:row>
      <xdr:rowOff>129831</xdr:rowOff>
    </xdr:to>
    <xdr:pic>
      <xdr:nvPicPr>
        <xdr:cNvPr id="3" name="Imagen 2" descr="Colbún logotipo H ME.tif">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16417" y="74083"/>
          <a:ext cx="1262062" cy="444368"/>
        </a:xfrm>
        <a:prstGeom prst="rect">
          <a:avLst/>
        </a:prstGeom>
      </xdr:spPr>
    </xdr:pic>
    <xdr:clientData/>
  </xdr:twoCellAnchor>
  <xdr:oneCellAnchor>
    <xdr:from>
      <xdr:col>7</xdr:col>
      <xdr:colOff>116417</xdr:colOff>
      <xdr:row>0</xdr:row>
      <xdr:rowOff>74083</xdr:rowOff>
    </xdr:from>
    <xdr:ext cx="1263967" cy="419391"/>
    <xdr:pic>
      <xdr:nvPicPr>
        <xdr:cNvPr id="4" name="Imagen 3" descr="Colbún logotipo H ME.tif">
          <a:extLst>
            <a:ext uri="{FF2B5EF4-FFF2-40B4-BE49-F238E27FC236}">
              <a16:creationId xmlns:a16="http://schemas.microsoft.com/office/drawing/2014/main" id="{1639958A-B782-4CEE-A21E-245E1601E705}"/>
            </a:ext>
          </a:extLst>
        </xdr:cNvPr>
        <xdr:cNvPicPr>
          <a:picLocks noChangeAspect="1"/>
        </xdr:cNvPicPr>
      </xdr:nvPicPr>
      <xdr:blipFill>
        <a:blip xmlns:r="http://schemas.openxmlformats.org/officeDocument/2006/relationships" r:embed="rId1"/>
        <a:stretch>
          <a:fillRect/>
        </a:stretch>
      </xdr:blipFill>
      <xdr:spPr>
        <a:xfrm>
          <a:off x="116417" y="74083"/>
          <a:ext cx="1263967" cy="419391"/>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134938</xdr:colOff>
      <xdr:row>0</xdr:row>
      <xdr:rowOff>58571</xdr:rowOff>
    </xdr:from>
    <xdr:to>
      <xdr:col>1</xdr:col>
      <xdr:colOff>1393190</xdr:colOff>
      <xdr:row>2</xdr:row>
      <xdr:rowOff>129559</xdr:rowOff>
    </xdr:to>
    <xdr:pic>
      <xdr:nvPicPr>
        <xdr:cNvPr id="2" name="Imagen 1" descr="Colbún logotipo H ME.tif">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134938" y="58571"/>
          <a:ext cx="1262062" cy="444368"/>
        </a:xfrm>
        <a:prstGeom prst="rect">
          <a:avLst/>
        </a:prstGeom>
      </xdr:spPr>
    </xdr:pic>
    <xdr:clientData/>
  </xdr:twoCellAnchor>
  <xdr:twoCellAnchor editAs="oneCell">
    <xdr:from>
      <xdr:col>1</xdr:col>
      <xdr:colOff>0</xdr:colOff>
      <xdr:row>55</xdr:row>
      <xdr:rowOff>107156</xdr:rowOff>
    </xdr:from>
    <xdr:to>
      <xdr:col>1</xdr:col>
      <xdr:colOff>1333500</xdr:colOff>
      <xdr:row>57</xdr:row>
      <xdr:rowOff>39104</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5430573"/>
          <a:ext cx="1333500" cy="6554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23</xdr:row>
      <xdr:rowOff>52916</xdr:rowOff>
    </xdr:from>
    <xdr:to>
      <xdr:col>1</xdr:col>
      <xdr:colOff>1351915</xdr:colOff>
      <xdr:row>26</xdr:row>
      <xdr:rowOff>152446</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693583"/>
          <a:ext cx="1365250" cy="671030"/>
        </a:xfrm>
        <a:prstGeom prst="rect">
          <a:avLst/>
        </a:prstGeom>
      </xdr:spPr>
    </xdr:pic>
    <xdr:clientData/>
  </xdr:twoCellAnchor>
  <xdr:twoCellAnchor editAs="oneCell">
    <xdr:from>
      <xdr:col>1</xdr:col>
      <xdr:colOff>127002</xdr:colOff>
      <xdr:row>0</xdr:row>
      <xdr:rowOff>74083</xdr:rowOff>
    </xdr:from>
    <xdr:to>
      <xdr:col>1</xdr:col>
      <xdr:colOff>1276774</xdr:colOff>
      <xdr:row>2</xdr:row>
      <xdr:rowOff>95445</xdr:rowOff>
    </xdr:to>
    <xdr:pic>
      <xdr:nvPicPr>
        <xdr:cNvPr id="3" name="Imagen 2" descr="Colbún logotipo H ME.tif">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127002" y="74083"/>
          <a:ext cx="1153582" cy="40617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18</xdr:row>
      <xdr:rowOff>95250</xdr:rowOff>
    </xdr:from>
    <xdr:to>
      <xdr:col>1</xdr:col>
      <xdr:colOff>1355725</xdr:colOff>
      <xdr:row>22</xdr:row>
      <xdr:rowOff>470</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614083"/>
          <a:ext cx="1365250" cy="671030"/>
        </a:xfrm>
        <a:prstGeom prst="rect">
          <a:avLst/>
        </a:prstGeom>
      </xdr:spPr>
    </xdr:pic>
    <xdr:clientData/>
  </xdr:twoCellAnchor>
  <xdr:twoCellAnchor editAs="oneCell">
    <xdr:from>
      <xdr:col>1</xdr:col>
      <xdr:colOff>0</xdr:colOff>
      <xdr:row>0</xdr:row>
      <xdr:rowOff>95253</xdr:rowOff>
    </xdr:from>
    <xdr:to>
      <xdr:col>1</xdr:col>
      <xdr:colOff>1159297</xdr:colOff>
      <xdr:row>2</xdr:row>
      <xdr:rowOff>129950</xdr:rowOff>
    </xdr:to>
    <xdr:pic>
      <xdr:nvPicPr>
        <xdr:cNvPr id="4" name="Imagen 3" descr="Colbún logotipo H ME.tif">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stretch>
          <a:fillRect/>
        </a:stretch>
      </xdr:blipFill>
      <xdr:spPr>
        <a:xfrm>
          <a:off x="0" y="95253"/>
          <a:ext cx="1153582" cy="40617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119060</xdr:colOff>
      <xdr:row>0</xdr:row>
      <xdr:rowOff>119064</xdr:rowOff>
    </xdr:from>
    <xdr:to>
      <xdr:col>0</xdr:col>
      <xdr:colOff>1272642</xdr:colOff>
      <xdr:row>2</xdr:row>
      <xdr:rowOff>132806</xdr:rowOff>
    </xdr:to>
    <xdr:pic>
      <xdr:nvPicPr>
        <xdr:cNvPr id="3" name="Imagen 2" descr="Colbún logotipo H ME.tif">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119060" y="119064"/>
          <a:ext cx="1153582" cy="406172"/>
        </a:xfrm>
        <a:prstGeom prst="rect">
          <a:avLst/>
        </a:prstGeom>
      </xdr:spPr>
    </xdr:pic>
    <xdr:clientData/>
  </xdr:twoCellAnchor>
  <xdr:twoCellAnchor editAs="oneCell">
    <xdr:from>
      <xdr:col>0</xdr:col>
      <xdr:colOff>0</xdr:colOff>
      <xdr:row>13</xdr:row>
      <xdr:rowOff>154782</xdr:rowOff>
    </xdr:from>
    <xdr:to>
      <xdr:col>0</xdr:col>
      <xdr:colOff>1355725</xdr:colOff>
      <xdr:row>17</xdr:row>
      <xdr:rowOff>56192</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2738438"/>
          <a:ext cx="1365250" cy="67103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57150</xdr:colOff>
      <xdr:row>0</xdr:row>
      <xdr:rowOff>95250</xdr:rowOff>
    </xdr:from>
    <xdr:to>
      <xdr:col>0</xdr:col>
      <xdr:colOff>1199302</xdr:colOff>
      <xdr:row>2</xdr:row>
      <xdr:rowOff>130899</xdr:rowOff>
    </xdr:to>
    <xdr:pic>
      <xdr:nvPicPr>
        <xdr:cNvPr id="2" name="Imagen 1" descr="Colbún logotipo H ME.tif">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57150" y="95250"/>
          <a:ext cx="1153582" cy="406172"/>
        </a:xfrm>
        <a:prstGeom prst="rect">
          <a:avLst/>
        </a:prstGeom>
      </xdr:spPr>
    </xdr:pic>
    <xdr:clientData/>
  </xdr:twoCellAnchor>
  <xdr:twoCellAnchor editAs="oneCell">
    <xdr:from>
      <xdr:col>0</xdr:col>
      <xdr:colOff>0</xdr:colOff>
      <xdr:row>9</xdr:row>
      <xdr:rowOff>127001</xdr:rowOff>
    </xdr:from>
    <xdr:to>
      <xdr:col>0</xdr:col>
      <xdr:colOff>1370012</xdr:colOff>
      <xdr:row>13</xdr:row>
      <xdr:rowOff>39841</xdr:rowOff>
    </xdr:to>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852084"/>
          <a:ext cx="1365250" cy="67103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142875</xdr:colOff>
      <xdr:row>0</xdr:row>
      <xdr:rowOff>59532</xdr:rowOff>
    </xdr:from>
    <xdr:to>
      <xdr:col>1</xdr:col>
      <xdr:colOff>1296457</xdr:colOff>
      <xdr:row>2</xdr:row>
      <xdr:rowOff>92324</xdr:rowOff>
    </xdr:to>
    <xdr:pic>
      <xdr:nvPicPr>
        <xdr:cNvPr id="3" name="Imagen 2" descr="Colbún logotipo H ME.tif">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142875" y="59532"/>
          <a:ext cx="1153582" cy="406172"/>
        </a:xfrm>
        <a:prstGeom prst="rect">
          <a:avLst/>
        </a:prstGeom>
      </xdr:spPr>
    </xdr:pic>
    <xdr:clientData/>
  </xdr:twoCellAnchor>
  <xdr:twoCellAnchor editAs="oneCell">
    <xdr:from>
      <xdr:col>1</xdr:col>
      <xdr:colOff>0</xdr:colOff>
      <xdr:row>18</xdr:row>
      <xdr:rowOff>83343</xdr:rowOff>
    </xdr:from>
    <xdr:to>
      <xdr:col>1</xdr:col>
      <xdr:colOff>1351915</xdr:colOff>
      <xdr:row>22</xdr:row>
      <xdr:rowOff>1898</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3369468"/>
          <a:ext cx="1365250" cy="6710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izaldivar/Documents/Balance%20de%20Gesti&#243;n/12-2020/Copia%20de%20Bce%20Gesti&#243;n%20Fenix%20%20Consolidado%2012-2020-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e"/>
      <sheetName val="BD-R°"/>
      <sheetName val="B"/>
      <sheetName val="R"/>
      <sheetName val="IFRS"/>
      <sheetName val="A°"/>
      <sheetName val="P°"/>
      <sheetName val="R°"/>
      <sheetName val="Ppto"/>
      <sheetName val="B°G°"/>
      <sheetName val="R°G°"/>
      <sheetName val="R°T°"/>
      <sheetName val="M°P°"/>
      <sheetName val="Det Impto"/>
      <sheetName val="Carp Dir"/>
      <sheetName val="Ok"/>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BAL AR"/>
      <sheetName val="EERR AR"/>
      <sheetName val="EFE"/>
      <sheetName val="Indicad"/>
      <sheetName val="IF 12-'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D4">
            <v>28.840882880000002</v>
          </cell>
          <cell r="I4">
            <v>58.727120349999993</v>
          </cell>
        </row>
        <row r="12">
          <cell r="I12">
            <v>400.82356003999996</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4:AK53"/>
  <sheetViews>
    <sheetView tabSelected="1" topLeftCell="B1" zoomScale="70" zoomScaleNormal="70" workbookViewId="0">
      <selection activeCell="G7" sqref="G7:G8"/>
    </sheetView>
  </sheetViews>
  <sheetFormatPr baseColWidth="10" defaultColWidth="11.44140625" defaultRowHeight="14.4" x14ac:dyDescent="0.35"/>
  <cols>
    <col min="1" max="1" width="7.33203125" style="1" hidden="1" customWidth="1"/>
    <col min="2" max="2" width="40" style="1" bestFit="1" customWidth="1"/>
    <col min="3" max="3" width="11.44140625" style="1"/>
    <col min="4" max="4" width="11.44140625" style="77"/>
    <col min="5" max="7" width="11.44140625" style="1"/>
    <col min="8" max="8" width="37.44140625" style="1" customWidth="1"/>
    <col min="9" max="36" width="11.44140625" style="1" customWidth="1"/>
    <col min="37" max="16384" width="11.44140625" style="1"/>
  </cols>
  <sheetData>
    <row r="4" spans="1:37" ht="23.4" x14ac:dyDescent="0.45">
      <c r="B4" s="12" t="s">
        <v>0</v>
      </c>
      <c r="C4" s="13"/>
      <c r="D4" s="76"/>
      <c r="E4" s="13"/>
      <c r="H4" s="12" t="s">
        <v>0</v>
      </c>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row>
    <row r="6" spans="1:37" x14ac:dyDescent="0.35">
      <c r="A6" s="1">
        <v>1</v>
      </c>
      <c r="B6" s="3" t="s">
        <v>1</v>
      </c>
      <c r="C6" s="99" t="s">
        <v>128</v>
      </c>
      <c r="D6" s="100" t="s">
        <v>143</v>
      </c>
      <c r="E6" s="99" t="s">
        <v>4</v>
      </c>
      <c r="H6" s="3" t="s">
        <v>5</v>
      </c>
      <c r="I6" s="99" t="s">
        <v>6</v>
      </c>
      <c r="J6" s="99" t="s">
        <v>7</v>
      </c>
      <c r="K6" s="99" t="s">
        <v>8</v>
      </c>
      <c r="L6" s="99" t="s">
        <v>9</v>
      </c>
      <c r="M6" s="99" t="s">
        <v>10</v>
      </c>
      <c r="N6" s="99" t="s">
        <v>11</v>
      </c>
      <c r="O6" s="99" t="s">
        <v>12</v>
      </c>
      <c r="P6" s="99" t="s">
        <v>13</v>
      </c>
      <c r="Q6" s="99" t="s">
        <v>14</v>
      </c>
      <c r="R6" s="99" t="s">
        <v>15</v>
      </c>
      <c r="S6" s="99" t="s">
        <v>16</v>
      </c>
      <c r="T6" s="99" t="s">
        <v>17</v>
      </c>
      <c r="U6" s="99" t="s">
        <v>18</v>
      </c>
      <c r="V6" s="99" t="s">
        <v>19</v>
      </c>
      <c r="W6" s="99" t="s">
        <v>20</v>
      </c>
      <c r="X6" s="99" t="s">
        <v>21</v>
      </c>
      <c r="Y6" s="99" t="s">
        <v>22</v>
      </c>
      <c r="Z6" s="99" t="s">
        <v>23</v>
      </c>
      <c r="AA6" s="99" t="s">
        <v>24</v>
      </c>
      <c r="AB6" s="99" t="s">
        <v>2</v>
      </c>
      <c r="AC6" s="99" t="s">
        <v>25</v>
      </c>
      <c r="AD6" s="99" t="s">
        <v>26</v>
      </c>
      <c r="AE6" s="99" t="s">
        <v>27</v>
      </c>
      <c r="AF6" s="99" t="s">
        <v>3</v>
      </c>
      <c r="AG6" s="99" t="s">
        <v>128</v>
      </c>
      <c r="AH6" s="99" t="s">
        <v>130</v>
      </c>
      <c r="AI6" s="99" t="s">
        <v>139</v>
      </c>
      <c r="AJ6" s="99" t="s">
        <v>141</v>
      </c>
      <c r="AK6" s="99" t="s">
        <v>143</v>
      </c>
    </row>
    <row r="7" spans="1:37" x14ac:dyDescent="0.35">
      <c r="A7" s="1">
        <f>+A6+1</f>
        <v>2</v>
      </c>
      <c r="B7" s="3" t="s">
        <v>28</v>
      </c>
      <c r="C7" s="99"/>
      <c r="D7" s="100"/>
      <c r="E7" s="99"/>
      <c r="H7" s="3" t="s">
        <v>28</v>
      </c>
      <c r="I7" s="99"/>
      <c r="J7" s="99"/>
      <c r="K7" s="99"/>
      <c r="L7" s="99"/>
      <c r="M7" s="99"/>
      <c r="N7" s="99"/>
      <c r="O7" s="99"/>
      <c r="P7" s="99"/>
      <c r="Q7" s="99"/>
      <c r="R7" s="99"/>
      <c r="S7" s="99"/>
      <c r="T7" s="99"/>
      <c r="U7" s="99"/>
      <c r="V7" s="99"/>
      <c r="W7" s="99"/>
      <c r="X7" s="99"/>
      <c r="Y7" s="99"/>
      <c r="Z7" s="99"/>
      <c r="AA7" s="99"/>
      <c r="AB7" s="99"/>
      <c r="AC7" s="99"/>
      <c r="AD7" s="99"/>
      <c r="AE7" s="99"/>
      <c r="AF7" s="99"/>
      <c r="AG7" s="99"/>
      <c r="AH7" s="99"/>
      <c r="AI7" s="99"/>
      <c r="AJ7" s="99"/>
      <c r="AK7" s="99"/>
    </row>
    <row r="8" spans="1:37" x14ac:dyDescent="0.35">
      <c r="A8" s="1">
        <f t="shared" ref="A8:A29" si="0">+A7+1</f>
        <v>3</v>
      </c>
      <c r="C8" s="60"/>
      <c r="E8" s="60"/>
    </row>
    <row r="9" spans="1:37" x14ac:dyDescent="0.35">
      <c r="A9" s="1">
        <f t="shared" si="0"/>
        <v>4</v>
      </c>
      <c r="B9" s="6" t="s">
        <v>29</v>
      </c>
      <c r="C9" s="61">
        <f>+HLOOKUP($C$6,H6:AO29,A9,FALSE)</f>
        <v>2894.7184263164395</v>
      </c>
      <c r="D9" s="78">
        <f>+HLOOKUP($D$6,$H$6:$BH$29,A9,FALSE)</f>
        <v>2523.3017519416767</v>
      </c>
      <c r="E9" s="62">
        <f>D9/C9-1</f>
        <v>-0.12830839469502209</v>
      </c>
      <c r="H9" s="6" t="s">
        <v>29</v>
      </c>
      <c r="I9" s="24">
        <f>SUM(I11:I13)</f>
        <v>2560.681023770358</v>
      </c>
      <c r="J9" s="24">
        <f t="shared" ref="J9:W9" si="1">SUM(J11:J13)</f>
        <v>3204.9189762296419</v>
      </c>
      <c r="K9" s="24">
        <f t="shared" si="1"/>
        <v>3160</v>
      </c>
      <c r="L9" s="24">
        <f t="shared" si="1"/>
        <v>3256.6374880461249</v>
      </c>
      <c r="M9" s="24">
        <f t="shared" si="1"/>
        <v>3108.5000952819764</v>
      </c>
      <c r="N9" s="24">
        <f t="shared" si="1"/>
        <v>3307.390542442422</v>
      </c>
      <c r="O9" s="24">
        <f t="shared" si="1"/>
        <v>3196.9342477735267</v>
      </c>
      <c r="P9" s="24">
        <f t="shared" si="1"/>
        <v>2884.5970569424348</v>
      </c>
      <c r="Q9" s="24">
        <f t="shared" si="1"/>
        <v>3159.4090628176209</v>
      </c>
      <c r="R9" s="24">
        <f t="shared" si="1"/>
        <v>3243.5380586726274</v>
      </c>
      <c r="S9" s="24">
        <f t="shared" si="1"/>
        <v>2781</v>
      </c>
      <c r="T9" s="24">
        <f t="shared" si="1"/>
        <v>2772.5335138224214</v>
      </c>
      <c r="U9" s="24">
        <f t="shared" si="1"/>
        <v>3110.0663316242094</v>
      </c>
      <c r="V9" s="24">
        <f t="shared" si="1"/>
        <v>3272.6612769021672</v>
      </c>
      <c r="W9" s="24">
        <f t="shared" si="1"/>
        <v>3026.6000000000004</v>
      </c>
      <c r="X9" s="24">
        <f t="shared" ref="X9:Y9" si="2">SUM(X11:X13)</f>
        <v>3018.3478999999998</v>
      </c>
      <c r="Y9" s="24">
        <f t="shared" si="2"/>
        <v>3407.8686676943248</v>
      </c>
      <c r="Z9" s="24">
        <f t="shared" ref="Z9" si="3">SUM(Z11:Z13)</f>
        <v>3424.7141303512244</v>
      </c>
      <c r="AA9" s="24">
        <f t="shared" ref="AA9:AK9" si="4">SUM(AA11:AA13)</f>
        <v>3024.3315116932845</v>
      </c>
      <c r="AB9" s="24">
        <f t="shared" si="4"/>
        <v>2985.7599999999998</v>
      </c>
      <c r="AC9" s="24">
        <f t="shared" si="4"/>
        <v>3258.472476178159</v>
      </c>
      <c r="AD9" s="24">
        <f t="shared" si="4"/>
        <v>3269.1335247947418</v>
      </c>
      <c r="AE9" s="24">
        <f t="shared" si="4"/>
        <v>2892.5098733903596</v>
      </c>
      <c r="AF9" s="24">
        <f t="shared" si="4"/>
        <v>2757.7442338119999</v>
      </c>
      <c r="AG9" s="24">
        <f t="shared" si="4"/>
        <v>2894.7184263164395</v>
      </c>
      <c r="AH9" s="24">
        <f t="shared" si="4"/>
        <v>3020.1895664713779</v>
      </c>
      <c r="AI9" s="24">
        <f t="shared" si="4"/>
        <v>3450.6989014341748</v>
      </c>
      <c r="AJ9" s="24">
        <f t="shared" si="4"/>
        <v>2666.661990758414</v>
      </c>
      <c r="AK9" s="24">
        <f t="shared" si="4"/>
        <v>2523.3017519416767</v>
      </c>
    </row>
    <row r="10" spans="1:37" ht="5.25" customHeight="1" x14ac:dyDescent="0.35">
      <c r="A10" s="1">
        <f t="shared" si="0"/>
        <v>5</v>
      </c>
      <c r="C10" s="60"/>
      <c r="E10" s="60"/>
    </row>
    <row r="11" spans="1:37" x14ac:dyDescent="0.35">
      <c r="A11" s="1">
        <f t="shared" si="0"/>
        <v>6</v>
      </c>
      <c r="B11" s="5" t="s">
        <v>30</v>
      </c>
      <c r="C11" s="63">
        <f>+HLOOKUP($C$6,$H$6:$AO$31,A11,FALSE)</f>
        <v>788.30658700000004</v>
      </c>
      <c r="D11" s="79">
        <f>+HLOOKUP($D$6,$H$6:$BG$29,A11,FALSE)</f>
        <v>726.43184861292184</v>
      </c>
      <c r="E11" s="64">
        <f>+D11/C11-1</f>
        <v>-7.8490703245992499E-2</v>
      </c>
      <c r="H11" s="5" t="s">
        <v>30</v>
      </c>
      <c r="I11" s="25">
        <v>1109</v>
      </c>
      <c r="J11" s="25">
        <v>1621</v>
      </c>
      <c r="K11" s="25">
        <v>1816</v>
      </c>
      <c r="L11" s="25">
        <v>2109</v>
      </c>
      <c r="M11" s="25">
        <v>1733.6471680194898</v>
      </c>
      <c r="N11" s="25">
        <v>1698.807051092178</v>
      </c>
      <c r="O11" s="25">
        <v>1635.6751473021668</v>
      </c>
      <c r="P11" s="25">
        <v>1556.7919803760619</v>
      </c>
      <c r="Q11" s="25">
        <v>1644.6652440438811</v>
      </c>
      <c r="R11" s="25">
        <v>1622.1834633647968</v>
      </c>
      <c r="S11" s="25">
        <v>1621</v>
      </c>
      <c r="T11" s="25">
        <v>1645.6228534367942</v>
      </c>
      <c r="U11" s="25">
        <v>1654.636696809614</v>
      </c>
      <c r="V11" s="25">
        <v>1578.8122475593327</v>
      </c>
      <c r="W11" s="25">
        <v>1579.9</v>
      </c>
      <c r="X11" s="25">
        <v>1489.7</v>
      </c>
      <c r="Y11" s="25">
        <v>1416.5104173471059</v>
      </c>
      <c r="Z11" s="25">
        <v>1376.7867522959921</v>
      </c>
      <c r="AA11" s="25">
        <v>1368.2160000000001</v>
      </c>
      <c r="AB11" s="25">
        <v>1255.8720000000001</v>
      </c>
      <c r="AC11" s="25">
        <v>1086.4614696775211</v>
      </c>
      <c r="AD11" s="25">
        <v>1111.3063159999999</v>
      </c>
      <c r="AE11" s="25">
        <v>1125.5098733903596</v>
      </c>
      <c r="AF11" s="25">
        <v>1024.871184053</v>
      </c>
      <c r="AG11" s="25">
        <v>788.30658700000004</v>
      </c>
      <c r="AH11" s="25">
        <v>783.91245300000003</v>
      </c>
      <c r="AI11" s="25">
        <v>827.47447275453328</v>
      </c>
      <c r="AJ11" s="25">
        <v>750.89746617828928</v>
      </c>
      <c r="AK11" s="25">
        <v>726.43184861292184</v>
      </c>
    </row>
    <row r="12" spans="1:37" x14ac:dyDescent="0.35">
      <c r="A12" s="1">
        <f t="shared" si="0"/>
        <v>7</v>
      </c>
      <c r="B12" s="5" t="s">
        <v>31</v>
      </c>
      <c r="C12" s="63">
        <f>+HLOOKUP($C$6,$H$6:$AO$31,A12,FALSE)</f>
        <v>1706.4336673559997</v>
      </c>
      <c r="D12" s="79">
        <f>+HLOOKUP($D$6,$H$6:$BG$29,A12,FALSE)</f>
        <v>1698.5572144754901</v>
      </c>
      <c r="E12" s="65">
        <f t="shared" ref="E12:E13" si="5">+D12/C12-1</f>
        <v>-4.615739264400176E-3</v>
      </c>
      <c r="H12" s="5" t="s">
        <v>31</v>
      </c>
      <c r="I12" s="25">
        <v>1232.7135073230352</v>
      </c>
      <c r="J12" s="25">
        <v>1159.3864926769647</v>
      </c>
      <c r="K12" s="25">
        <v>1197</v>
      </c>
      <c r="L12" s="25">
        <v>1147.6374880461249</v>
      </c>
      <c r="M12" s="25">
        <v>1047.8529272624869</v>
      </c>
      <c r="N12" s="25">
        <v>1124.583491350244</v>
      </c>
      <c r="O12" s="25">
        <v>1105.54281147136</v>
      </c>
      <c r="P12" s="25">
        <v>1150.043912020727</v>
      </c>
      <c r="Q12" s="25">
        <v>1111.9510521693539</v>
      </c>
      <c r="R12" s="25">
        <v>1108.645275548731</v>
      </c>
      <c r="S12" s="25">
        <v>1160</v>
      </c>
      <c r="T12" s="25">
        <v>1126.9106603856271</v>
      </c>
      <c r="U12" s="25">
        <v>1099.855435357053</v>
      </c>
      <c r="V12" s="25">
        <v>1217.4004521789029</v>
      </c>
      <c r="W12" s="25">
        <v>1230.9000000000001</v>
      </c>
      <c r="X12" s="25">
        <v>1183.54</v>
      </c>
      <c r="Y12" s="25">
        <v>1466.8419977512128</v>
      </c>
      <c r="Z12" s="25">
        <v>1530.5063780552321</v>
      </c>
      <c r="AA12" s="25">
        <v>1541.9482833212292</v>
      </c>
      <c r="AB12" s="25">
        <v>1573.4090000000001</v>
      </c>
      <c r="AC12" s="25">
        <v>1492.418422</v>
      </c>
      <c r="AD12" s="25">
        <v>1592.1897899999999</v>
      </c>
      <c r="AE12" s="25">
        <v>1736</v>
      </c>
      <c r="AF12" s="25">
        <v>1732.873049759</v>
      </c>
      <c r="AG12" s="25">
        <v>1706.4336673559997</v>
      </c>
      <c r="AH12" s="25">
        <v>1735.752988406</v>
      </c>
      <c r="AI12" s="25">
        <v>1836.2943763810001</v>
      </c>
      <c r="AJ12" s="25">
        <v>1883.0254070750898</v>
      </c>
      <c r="AK12" s="25">
        <v>1698.5572144754901</v>
      </c>
    </row>
    <row r="13" spans="1:37" x14ac:dyDescent="0.35">
      <c r="A13" s="1">
        <f t="shared" si="0"/>
        <v>8</v>
      </c>
      <c r="B13" s="5" t="s">
        <v>32</v>
      </c>
      <c r="C13" s="63">
        <f>+HLOOKUP($C$6,$H$6:$AO$31,A13,FALSE)</f>
        <v>399.97817196043991</v>
      </c>
      <c r="D13" s="79">
        <f>+HLOOKUP($D$6,$H$6:$BG$29,A13,FALSE)</f>
        <v>98.312688853264603</v>
      </c>
      <c r="E13" s="64">
        <f t="shared" si="5"/>
        <v>-0.75420486480200155</v>
      </c>
      <c r="H13" s="5" t="s">
        <v>32</v>
      </c>
      <c r="I13" s="25">
        <v>218.96751644732302</v>
      </c>
      <c r="J13" s="25">
        <v>424.53248355267698</v>
      </c>
      <c r="K13" s="25">
        <v>147</v>
      </c>
      <c r="L13" s="30">
        <v>0</v>
      </c>
      <c r="M13" s="25">
        <v>327</v>
      </c>
      <c r="N13" s="25">
        <v>484</v>
      </c>
      <c r="O13" s="25">
        <v>455.71628899999996</v>
      </c>
      <c r="P13" s="25">
        <v>177.76116454564578</v>
      </c>
      <c r="Q13" s="25">
        <v>402.79276660438609</v>
      </c>
      <c r="R13" s="25">
        <v>512.70931975909969</v>
      </c>
      <c r="S13" s="30">
        <v>0</v>
      </c>
      <c r="T13" s="30">
        <v>0</v>
      </c>
      <c r="U13" s="25">
        <v>355.57419945754248</v>
      </c>
      <c r="V13" s="25">
        <v>476.44857716393153</v>
      </c>
      <c r="W13" s="25">
        <v>215.8</v>
      </c>
      <c r="X13" s="25">
        <v>345.10789999999997</v>
      </c>
      <c r="Y13" s="25">
        <v>524.51625259600632</v>
      </c>
      <c r="Z13" s="25">
        <v>517.42100000000005</v>
      </c>
      <c r="AA13" s="25">
        <v>114.16722837205532</v>
      </c>
      <c r="AB13" s="25">
        <v>156.47899999999998</v>
      </c>
      <c r="AC13" s="25">
        <v>679.59258450063749</v>
      </c>
      <c r="AD13" s="25">
        <v>565.63741879474242</v>
      </c>
      <c r="AE13" s="25">
        <v>31</v>
      </c>
      <c r="AF13" s="73">
        <v>0</v>
      </c>
      <c r="AG13" s="73">
        <v>399.97817196043991</v>
      </c>
      <c r="AH13" s="73">
        <v>500.52412506537814</v>
      </c>
      <c r="AI13" s="73">
        <v>786.93005229864139</v>
      </c>
      <c r="AJ13" s="73">
        <v>32.739117505034869</v>
      </c>
      <c r="AK13" s="73">
        <v>98.312688853264603</v>
      </c>
    </row>
    <row r="14" spans="1:37" ht="5.25" customHeight="1" x14ac:dyDescent="0.35">
      <c r="A14" s="1">
        <f t="shared" si="0"/>
        <v>9</v>
      </c>
      <c r="C14" s="67">
        <f>+HLOOKUP($C$6,$H$6:$AO$31,A14,FALSE)</f>
        <v>0</v>
      </c>
      <c r="D14" s="77">
        <f>+HLOOKUP($D$6,$H$6:$BG$29,A14,FALSE)</f>
        <v>0</v>
      </c>
      <c r="E14" s="60"/>
      <c r="I14" s="26"/>
      <c r="J14" s="26"/>
      <c r="K14" s="26"/>
      <c r="L14" s="26"/>
      <c r="M14" s="26"/>
      <c r="N14" s="26"/>
      <c r="O14" s="26"/>
      <c r="P14" s="26"/>
      <c r="Q14" s="26"/>
      <c r="R14" s="26"/>
      <c r="S14" s="26"/>
      <c r="T14" s="26"/>
      <c r="U14" s="26"/>
      <c r="V14" s="26"/>
      <c r="W14" s="26"/>
      <c r="X14" s="26"/>
      <c r="Y14" s="26"/>
      <c r="Z14" s="26"/>
      <c r="AA14" s="26"/>
      <c r="AB14" s="26"/>
      <c r="AC14" s="26"/>
      <c r="AD14" s="26"/>
      <c r="AE14" s="26"/>
    </row>
    <row r="15" spans="1:37" x14ac:dyDescent="0.35">
      <c r="A15" s="1">
        <f t="shared" si="0"/>
        <v>10</v>
      </c>
      <c r="B15" s="5" t="s">
        <v>33</v>
      </c>
      <c r="C15" s="63">
        <f>+HLOOKUP($C$6,$H$6:$AO$31,A15,FALSE)</f>
        <v>1389.7428849012347</v>
      </c>
      <c r="D15" s="79">
        <f>+HLOOKUP($D$6,$H$6:$BG$29,A15,FALSE)</f>
        <v>1247.2866839739715</v>
      </c>
      <c r="E15" s="64">
        <f t="shared" ref="E15" si="6">+D15/C15-1</f>
        <v>-0.10250543641918852</v>
      </c>
      <c r="H15" s="5" t="s">
        <v>33</v>
      </c>
      <c r="I15" s="25">
        <v>1750</v>
      </c>
      <c r="J15" s="25">
        <v>1676.5379</v>
      </c>
      <c r="K15" s="25">
        <v>1717</v>
      </c>
      <c r="L15" s="25">
        <v>1658.537353248</v>
      </c>
      <c r="M15" s="25">
        <v>1593</v>
      </c>
      <c r="N15" s="25">
        <v>1584.2553333333301</v>
      </c>
      <c r="O15" s="25">
        <v>1585</v>
      </c>
      <c r="P15" s="25">
        <v>1509.0192104540001</v>
      </c>
      <c r="Q15" s="25">
        <v>1516.2572692093333</v>
      </c>
      <c r="R15" s="25">
        <v>1586.312932267</v>
      </c>
      <c r="S15" s="25">
        <v>1611</v>
      </c>
      <c r="T15" s="25">
        <v>1605.0969330646667</v>
      </c>
      <c r="U15" s="25">
        <v>1608.011451372</v>
      </c>
      <c r="V15" s="25">
        <v>1580.915037662</v>
      </c>
      <c r="W15" s="25">
        <v>1615</v>
      </c>
      <c r="X15" s="25">
        <v>1629.6032617540002</v>
      </c>
      <c r="Y15" s="25">
        <v>1632.7914912306667</v>
      </c>
      <c r="Z15" s="25">
        <v>1609.7</v>
      </c>
      <c r="AA15" s="25">
        <v>1656.6028448940003</v>
      </c>
      <c r="AB15" s="25">
        <v>1663.0676706436664</v>
      </c>
      <c r="AC15" s="25">
        <v>1664</v>
      </c>
      <c r="AD15" s="25">
        <v>1574.1138055772778</v>
      </c>
      <c r="AE15" s="25">
        <v>1578.1126254887251</v>
      </c>
      <c r="AF15" s="25">
        <v>1558</v>
      </c>
      <c r="AG15" s="25">
        <v>1389.7428849012347</v>
      </c>
      <c r="AH15" s="25">
        <v>1439.5195898763534</v>
      </c>
      <c r="AI15" s="25">
        <v>1493.8879987067903</v>
      </c>
      <c r="AJ15" s="25">
        <v>1469.0334855196272</v>
      </c>
      <c r="AK15" s="25">
        <v>1247.2866839739715</v>
      </c>
    </row>
    <row r="16" spans="1:37" ht="10.5" customHeight="1" x14ac:dyDescent="0.35">
      <c r="A16" s="1">
        <f t="shared" si="0"/>
        <v>11</v>
      </c>
      <c r="C16" s="60"/>
      <c r="E16" s="60"/>
    </row>
    <row r="17" spans="1:37" x14ac:dyDescent="0.35">
      <c r="A17" s="1">
        <f t="shared" si="0"/>
        <v>12</v>
      </c>
      <c r="B17" s="6" t="s">
        <v>34</v>
      </c>
      <c r="C17" s="61">
        <f>+HLOOKUP($C$6,$H$6:$AO$31,A17,FALSE)</f>
        <v>2984.4361867917678</v>
      </c>
      <c r="D17" s="78">
        <f>+HLOOKUP($D$6,$H$6:$BG$29,A17,FALSE)</f>
        <v>2427.5366890469759</v>
      </c>
      <c r="E17" s="62">
        <f>D17/C17-1</f>
        <v>-0.18660124153750191</v>
      </c>
      <c r="H17" s="6" t="s">
        <v>34</v>
      </c>
      <c r="I17" s="24">
        <f>+I19+I20+I24</f>
        <v>3267.9317000000001</v>
      </c>
      <c r="J17" s="24">
        <f t="shared" ref="J17:Y17" si="7">+J19+J20+J24</f>
        <v>3498.9682999999995</v>
      </c>
      <c r="K17" s="24">
        <f t="shared" si="7"/>
        <v>3240</v>
      </c>
      <c r="L17" s="24">
        <f t="shared" si="7"/>
        <v>2855.1034</v>
      </c>
      <c r="M17" s="24">
        <f t="shared" si="7"/>
        <v>3195.3278</v>
      </c>
      <c r="N17" s="24">
        <f t="shared" si="7"/>
        <v>3388.34238</v>
      </c>
      <c r="O17" s="24">
        <f t="shared" si="7"/>
        <v>3270.1603</v>
      </c>
      <c r="P17" s="24">
        <f t="shared" si="7"/>
        <v>2792.3428942799992</v>
      </c>
      <c r="Q17" s="24">
        <f t="shared" si="7"/>
        <v>3221.5743400000001</v>
      </c>
      <c r="R17" s="24">
        <f t="shared" si="7"/>
        <v>3312.9959699999995</v>
      </c>
      <c r="S17" s="24">
        <f t="shared" si="7"/>
        <v>2412</v>
      </c>
      <c r="T17" s="24">
        <f t="shared" si="7"/>
        <v>2329.3105321120001</v>
      </c>
      <c r="U17" s="24">
        <f>+U19+U20+U24</f>
        <v>3191.2302385571666</v>
      </c>
      <c r="V17" s="24">
        <f t="shared" si="7"/>
        <v>3386.4810116580002</v>
      </c>
      <c r="W17" s="24">
        <f t="shared" si="7"/>
        <v>3058.0208900000002</v>
      </c>
      <c r="X17" s="24">
        <f t="shared" si="7"/>
        <v>3079.87891455</v>
      </c>
      <c r="Y17" s="24">
        <f t="shared" si="7"/>
        <v>3455.3460179723684</v>
      </c>
      <c r="Z17" s="24">
        <f t="shared" ref="Z17:AD17" si="8">+Z19+Z20+Z24</f>
        <v>3514.8398608767438</v>
      </c>
      <c r="AA17" s="24">
        <f t="shared" si="8"/>
        <v>3026.0395302917295</v>
      </c>
      <c r="AB17" s="24">
        <f t="shared" si="8"/>
        <v>3009.206121845772</v>
      </c>
      <c r="AC17" s="24">
        <f t="shared" si="8"/>
        <v>3334.4824444330111</v>
      </c>
      <c r="AD17" s="24">
        <f t="shared" si="8"/>
        <v>3334.3651071043373</v>
      </c>
      <c r="AE17" s="24">
        <f t="shared" ref="AE17:AK17" si="9">+AE19+AE20+AE24</f>
        <v>2589.5097437221884</v>
      </c>
      <c r="AF17" s="24">
        <f t="shared" si="9"/>
        <v>2668.8125995100431</v>
      </c>
      <c r="AG17" s="24">
        <f t="shared" si="9"/>
        <v>2984.4361867917678</v>
      </c>
      <c r="AH17" s="24">
        <f t="shared" si="9"/>
        <v>3113.9792090261044</v>
      </c>
      <c r="AI17" s="24">
        <f t="shared" si="9"/>
        <v>3546.1705021388707</v>
      </c>
      <c r="AJ17" s="24">
        <f t="shared" si="9"/>
        <v>2458.4844822617697</v>
      </c>
      <c r="AK17" s="24">
        <f t="shared" si="9"/>
        <v>2427.5366890469759</v>
      </c>
    </row>
    <row r="18" spans="1:37" ht="5.25" customHeight="1" x14ac:dyDescent="0.35">
      <c r="A18" s="1">
        <f t="shared" si="0"/>
        <v>13</v>
      </c>
      <c r="C18" s="60"/>
      <c r="E18" s="60"/>
    </row>
    <row r="19" spans="1:37" x14ac:dyDescent="0.35">
      <c r="A19" s="1">
        <f t="shared" si="0"/>
        <v>14</v>
      </c>
      <c r="B19" s="28" t="s">
        <v>35</v>
      </c>
      <c r="C19" s="66">
        <f t="shared" ref="C19:C29" si="10">+HLOOKUP($C$6,$H$6:$AO$31,A19,FALSE)</f>
        <v>1119.644</v>
      </c>
      <c r="D19" s="80">
        <f t="shared" ref="D19:D29" si="11">+HLOOKUP($D$6,$H$6:$BG$29,A19,FALSE)</f>
        <v>887.18420000000015</v>
      </c>
      <c r="E19" s="69">
        <f>+D19/C19-1</f>
        <v>-0.20761938616202991</v>
      </c>
      <c r="H19" s="28" t="s">
        <v>35</v>
      </c>
      <c r="I19" s="29">
        <v>1108.7977000000001</v>
      </c>
      <c r="J19" s="29">
        <v>1620.9022999999997</v>
      </c>
      <c r="K19" s="29">
        <v>1816</v>
      </c>
      <c r="L19" s="29">
        <v>2109.0504000000001</v>
      </c>
      <c r="M19" s="29">
        <v>1097.7067999999999</v>
      </c>
      <c r="N19" s="29">
        <v>1357.50828</v>
      </c>
      <c r="O19" s="29">
        <v>1723.634</v>
      </c>
      <c r="P19" s="29">
        <v>2285.4995499999995</v>
      </c>
      <c r="Q19" s="29">
        <v>1287.5566399999998</v>
      </c>
      <c r="R19" s="29">
        <v>1338.0191999999997</v>
      </c>
      <c r="S19" s="29">
        <v>988</v>
      </c>
      <c r="T19" s="29">
        <v>1153.0769</v>
      </c>
      <c r="U19" s="29">
        <v>1089.2442348041668</v>
      </c>
      <c r="V19" s="29">
        <v>1248.1063999999999</v>
      </c>
      <c r="W19" s="29">
        <v>1403.1208899999999</v>
      </c>
      <c r="X19" s="29">
        <v>2156.30267</v>
      </c>
      <c r="Y19" s="29">
        <v>1409.2049400000001</v>
      </c>
      <c r="Z19" s="29">
        <v>1433.3703999999998</v>
      </c>
      <c r="AA19" s="29">
        <v>1348.5269000000001</v>
      </c>
      <c r="AB19" s="29">
        <v>2120.86</v>
      </c>
      <c r="AC19" s="29">
        <v>1194.2386000000001</v>
      </c>
      <c r="AD19" s="29">
        <v>1371.5127</v>
      </c>
      <c r="AE19" s="29">
        <v>1316.77403</v>
      </c>
      <c r="AF19" s="29">
        <v>1236.0530999999996</v>
      </c>
      <c r="AG19" s="29">
        <v>1119.644</v>
      </c>
      <c r="AH19" s="29">
        <v>981.54162999999994</v>
      </c>
      <c r="AI19" s="29">
        <v>1529.7404300000001</v>
      </c>
      <c r="AJ19" s="29">
        <v>1965.3616099999999</v>
      </c>
      <c r="AK19" s="29">
        <v>887.18420000000015</v>
      </c>
    </row>
    <row r="20" spans="1:37" x14ac:dyDescent="0.35">
      <c r="A20" s="1">
        <f t="shared" si="0"/>
        <v>15</v>
      </c>
      <c r="B20" s="28" t="s">
        <v>36</v>
      </c>
      <c r="C20" s="66">
        <f t="shared" si="10"/>
        <v>1838.4737999999998</v>
      </c>
      <c r="D20" s="80">
        <f t="shared" si="11"/>
        <v>1512.6569999999999</v>
      </c>
      <c r="E20" s="69">
        <f>+D20/C20-1</f>
        <v>-0.17722134522667654</v>
      </c>
      <c r="H20" s="28" t="s">
        <v>36</v>
      </c>
      <c r="I20" s="29">
        <f>SUM(I21:I23)</f>
        <v>2159.134</v>
      </c>
      <c r="J20" s="29">
        <f t="shared" ref="J20:Y20" si="12">SUM(J21:J23)</f>
        <v>1878.0659999999998</v>
      </c>
      <c r="K20" s="29">
        <f t="shared" si="12"/>
        <v>1424</v>
      </c>
      <c r="L20" s="29">
        <f t="shared" si="12"/>
        <v>719.053</v>
      </c>
      <c r="M20" s="29">
        <f t="shared" si="12"/>
        <v>2079.7550000000001</v>
      </c>
      <c r="N20" s="29">
        <f t="shared" si="12"/>
        <v>2003.309</v>
      </c>
      <c r="O20" s="29">
        <f t="shared" si="12"/>
        <v>1519.4349999999999</v>
      </c>
      <c r="P20" s="29">
        <f t="shared" si="12"/>
        <v>467.988</v>
      </c>
      <c r="Q20" s="29">
        <f t="shared" si="12"/>
        <v>1915.18</v>
      </c>
      <c r="R20" s="29">
        <f t="shared" si="12"/>
        <v>1956.502</v>
      </c>
      <c r="S20" s="29">
        <f t="shared" si="12"/>
        <v>1396</v>
      </c>
      <c r="T20" s="29">
        <f t="shared" si="12"/>
        <v>1146.3820000000001</v>
      </c>
      <c r="U20" s="29">
        <f t="shared" si="12"/>
        <v>2080.1379999999999</v>
      </c>
      <c r="V20" s="29">
        <f t="shared" si="12"/>
        <v>2109.0740000000001</v>
      </c>
      <c r="W20" s="29">
        <f t="shared" si="12"/>
        <v>1625.5</v>
      </c>
      <c r="X20" s="29">
        <f t="shared" si="12"/>
        <v>887.74</v>
      </c>
      <c r="Y20" s="29">
        <f t="shared" si="12"/>
        <v>2019.9259999999999</v>
      </c>
      <c r="Z20" s="29">
        <f t="shared" ref="Z20:AE20" si="13">SUM(Z21:Z23)</f>
        <v>2052.0571999999997</v>
      </c>
      <c r="AA20" s="29">
        <f t="shared" si="13"/>
        <v>1640.9929999999999</v>
      </c>
      <c r="AB20" s="29">
        <f t="shared" si="13"/>
        <v>844.64</v>
      </c>
      <c r="AC20" s="29">
        <f t="shared" si="13"/>
        <v>2113.667219685</v>
      </c>
      <c r="AD20" s="29">
        <f t="shared" si="13"/>
        <v>1902.7019399999999</v>
      </c>
      <c r="AE20" s="29">
        <f t="shared" si="13"/>
        <v>1164.2910000000002</v>
      </c>
      <c r="AF20" s="29">
        <f t="shared" ref="AF20:AK20" si="14">SUM(AF21:AF23)</f>
        <v>1327.2567999999999</v>
      </c>
      <c r="AG20" s="29">
        <f t="shared" si="14"/>
        <v>1838.4737999999998</v>
      </c>
      <c r="AH20" s="29">
        <f t="shared" si="14"/>
        <v>2108.0429999999997</v>
      </c>
      <c r="AI20" s="29">
        <f t="shared" si="14"/>
        <v>1977.8985600000001</v>
      </c>
      <c r="AJ20" s="29">
        <f t="shared" si="14"/>
        <v>450.48900000000003</v>
      </c>
      <c r="AK20" s="29">
        <f t="shared" si="14"/>
        <v>1512.6569999999999</v>
      </c>
    </row>
    <row r="21" spans="1:37" x14ac:dyDescent="0.35">
      <c r="A21" s="1">
        <f t="shared" si="0"/>
        <v>16</v>
      </c>
      <c r="B21" s="5" t="s">
        <v>37</v>
      </c>
      <c r="C21" s="63">
        <f t="shared" si="10"/>
        <v>1190.3717999999999</v>
      </c>
      <c r="D21" s="79">
        <f t="shared" si="11"/>
        <v>722.05399999999997</v>
      </c>
      <c r="E21" s="64">
        <f t="shared" ref="E21:E26" si="15">+D21/C21-1</f>
        <v>-0.39342145034013742</v>
      </c>
      <c r="H21" s="5" t="s">
        <v>37</v>
      </c>
      <c r="I21" s="25">
        <v>1357.1130000000001</v>
      </c>
      <c r="J21" s="25">
        <v>929.08699999999976</v>
      </c>
      <c r="K21" s="25">
        <v>536</v>
      </c>
      <c r="L21" s="25">
        <v>188.97200000000001</v>
      </c>
      <c r="M21" s="25">
        <v>1146.7660000000001</v>
      </c>
      <c r="N21" s="25">
        <v>1201.8629999999998</v>
      </c>
      <c r="O21" s="25">
        <v>868.34900000000005</v>
      </c>
      <c r="P21" s="25">
        <v>204.482</v>
      </c>
      <c r="Q21" s="25">
        <v>1212.1610000000001</v>
      </c>
      <c r="R21" s="25">
        <v>1027.8029999999999</v>
      </c>
      <c r="S21" s="25">
        <v>559</v>
      </c>
      <c r="T21" s="25">
        <v>795.11400000000003</v>
      </c>
      <c r="U21" s="25">
        <v>1300.9190000000001</v>
      </c>
      <c r="V21" s="25">
        <v>1248.1420000000001</v>
      </c>
      <c r="W21" s="25">
        <v>846.3</v>
      </c>
      <c r="X21" s="25">
        <v>495.12900000000002</v>
      </c>
      <c r="Y21" s="25">
        <v>1268.5309999999999</v>
      </c>
      <c r="Z21" s="25">
        <v>1341.1381999999999</v>
      </c>
      <c r="AA21" s="25">
        <v>914.07899999999995</v>
      </c>
      <c r="AB21" s="25">
        <v>335.71</v>
      </c>
      <c r="AC21" s="25">
        <v>1362.9110000000001</v>
      </c>
      <c r="AD21" s="25">
        <v>1199.1079999999999</v>
      </c>
      <c r="AE21" s="25">
        <v>965.79200000000014</v>
      </c>
      <c r="AF21" s="25">
        <v>979.50349999999992</v>
      </c>
      <c r="AG21" s="25">
        <v>1190.3717999999999</v>
      </c>
      <c r="AH21" s="25">
        <v>1425.2629999999999</v>
      </c>
      <c r="AI21" s="25">
        <v>1429.42956</v>
      </c>
      <c r="AJ21" s="25">
        <v>62.475000000000001</v>
      </c>
      <c r="AK21" s="25">
        <v>722.05399999999997</v>
      </c>
    </row>
    <row r="22" spans="1:37" x14ac:dyDescent="0.35">
      <c r="A22" s="1">
        <f t="shared" si="0"/>
        <v>17</v>
      </c>
      <c r="B22" s="5" t="s">
        <v>38</v>
      </c>
      <c r="C22" s="63">
        <f t="shared" si="10"/>
        <v>31.466000000000001</v>
      </c>
      <c r="D22" s="79">
        <f t="shared" si="11"/>
        <v>118.843</v>
      </c>
      <c r="E22" s="64">
        <f t="shared" si="15"/>
        <v>2.7768702726752683</v>
      </c>
      <c r="H22" s="5" t="s">
        <v>38</v>
      </c>
      <c r="I22" s="25">
        <v>96.025000000000006</v>
      </c>
      <c r="J22" s="25">
        <v>231.07500000000002</v>
      </c>
      <c r="K22" s="25">
        <v>216</v>
      </c>
      <c r="L22" s="25">
        <v>2.7489999999999997</v>
      </c>
      <c r="M22" s="25">
        <v>141.345</v>
      </c>
      <c r="N22" s="25">
        <v>101.99799999999999</v>
      </c>
      <c r="O22" s="25">
        <v>0.33800000000000002</v>
      </c>
      <c r="P22" s="25">
        <v>0.50900000000000001</v>
      </c>
      <c r="Q22" s="25">
        <v>3.5060000000000002</v>
      </c>
      <c r="R22" s="25">
        <v>204.721</v>
      </c>
      <c r="S22" s="25">
        <v>94</v>
      </c>
      <c r="T22" s="25">
        <v>12.699</v>
      </c>
      <c r="U22" s="25">
        <v>43.264000000000003</v>
      </c>
      <c r="V22" s="25">
        <v>122.758</v>
      </c>
      <c r="W22" s="25">
        <v>32.299999999999997</v>
      </c>
      <c r="X22" s="25">
        <v>7.6610000000000005</v>
      </c>
      <c r="Y22" s="25">
        <v>14.943999999999999</v>
      </c>
      <c r="Z22" s="25">
        <v>28.54</v>
      </c>
      <c r="AA22" s="25">
        <v>21.773</v>
      </c>
      <c r="AB22" s="25">
        <v>13.209999999999999</v>
      </c>
      <c r="AC22" s="25">
        <v>51.590219684999994</v>
      </c>
      <c r="AD22" s="25">
        <v>12.888939999999998</v>
      </c>
      <c r="AE22" s="25">
        <v>5.3000000000000005E-2</v>
      </c>
      <c r="AF22" s="25">
        <v>2.0883000000000003</v>
      </c>
      <c r="AG22" s="25">
        <v>31.466000000000001</v>
      </c>
      <c r="AH22" s="25">
        <v>31.5</v>
      </c>
      <c r="AI22" s="25">
        <v>3.4470000000000001</v>
      </c>
      <c r="AJ22" s="25">
        <v>5.99</v>
      </c>
      <c r="AK22" s="25">
        <v>118.843</v>
      </c>
    </row>
    <row r="23" spans="1:37" x14ac:dyDescent="0.35">
      <c r="A23" s="1">
        <f t="shared" si="0"/>
        <v>18</v>
      </c>
      <c r="B23" s="5" t="s">
        <v>39</v>
      </c>
      <c r="C23" s="63">
        <f t="shared" si="10"/>
        <v>616.63599999999997</v>
      </c>
      <c r="D23" s="79">
        <f t="shared" si="11"/>
        <v>671.76</v>
      </c>
      <c r="E23" s="64">
        <f t="shared" si="15"/>
        <v>8.9394715845328543E-2</v>
      </c>
      <c r="H23" s="5" t="s">
        <v>39</v>
      </c>
      <c r="I23" s="25">
        <v>705.99599999999998</v>
      </c>
      <c r="J23" s="25">
        <v>717.90400000000011</v>
      </c>
      <c r="K23" s="25">
        <v>672</v>
      </c>
      <c r="L23" s="25">
        <v>527.33199999999999</v>
      </c>
      <c r="M23" s="25">
        <v>791.64400000000001</v>
      </c>
      <c r="N23" s="25">
        <v>699.44800000000009</v>
      </c>
      <c r="O23" s="25">
        <v>650.74800000000005</v>
      </c>
      <c r="P23" s="25">
        <v>262.99700000000001</v>
      </c>
      <c r="Q23" s="25">
        <v>699.51299999999992</v>
      </c>
      <c r="R23" s="25">
        <v>723.97800000000007</v>
      </c>
      <c r="S23" s="25">
        <v>743</v>
      </c>
      <c r="T23" s="25">
        <v>338.56899999999996</v>
      </c>
      <c r="U23" s="25">
        <v>735.95499999999993</v>
      </c>
      <c r="V23" s="25">
        <v>738.17399999999998</v>
      </c>
      <c r="W23" s="25">
        <v>746.9</v>
      </c>
      <c r="X23" s="25">
        <v>384.94999999999993</v>
      </c>
      <c r="Y23" s="25">
        <v>736.45100000000002</v>
      </c>
      <c r="Z23" s="25">
        <v>682.37900000000002</v>
      </c>
      <c r="AA23" s="25">
        <v>705.14099999999996</v>
      </c>
      <c r="AB23" s="25">
        <v>495.72</v>
      </c>
      <c r="AC23" s="25">
        <v>699.16600000000005</v>
      </c>
      <c r="AD23" s="25">
        <v>690.70500000000004</v>
      </c>
      <c r="AE23" s="25">
        <v>198.446</v>
      </c>
      <c r="AF23" s="25">
        <v>345.66499999999996</v>
      </c>
      <c r="AG23" s="25">
        <v>616.63599999999997</v>
      </c>
      <c r="AH23" s="25">
        <v>651.28</v>
      </c>
      <c r="AI23" s="25">
        <v>545.02200000000005</v>
      </c>
      <c r="AJ23" s="25">
        <v>382.024</v>
      </c>
      <c r="AK23" s="25">
        <v>671.76</v>
      </c>
    </row>
    <row r="24" spans="1:37" x14ac:dyDescent="0.35">
      <c r="A24" s="1">
        <f t="shared" si="0"/>
        <v>19</v>
      </c>
      <c r="B24" s="28" t="s">
        <v>40</v>
      </c>
      <c r="C24" s="66">
        <f t="shared" si="10"/>
        <v>26.318386791767686</v>
      </c>
      <c r="D24" s="80">
        <f t="shared" si="11"/>
        <v>27.695489046976014</v>
      </c>
      <c r="E24" s="69">
        <f t="shared" si="15"/>
        <v>5.2324721348007586E-2</v>
      </c>
      <c r="H24" s="28" t="s">
        <v>40</v>
      </c>
      <c r="I24" s="31">
        <f>SUM(I25:I26)</f>
        <v>0</v>
      </c>
      <c r="J24" s="31">
        <f t="shared" ref="J24:Y24" si="16">SUM(J25:J26)</f>
        <v>0</v>
      </c>
      <c r="K24" s="31">
        <f t="shared" si="16"/>
        <v>0</v>
      </c>
      <c r="L24" s="29">
        <f t="shared" si="16"/>
        <v>27</v>
      </c>
      <c r="M24" s="29">
        <f t="shared" si="16"/>
        <v>17.866000000000003</v>
      </c>
      <c r="N24" s="29">
        <f t="shared" si="16"/>
        <v>27.525100000000002</v>
      </c>
      <c r="O24" s="29">
        <f t="shared" si="16"/>
        <v>27.0913</v>
      </c>
      <c r="P24" s="29">
        <f t="shared" si="16"/>
        <v>38.855344280000011</v>
      </c>
      <c r="Q24" s="29">
        <f t="shared" si="16"/>
        <v>18.837700000000002</v>
      </c>
      <c r="R24" s="29">
        <f t="shared" si="16"/>
        <v>18.474769999999999</v>
      </c>
      <c r="S24" s="29">
        <f t="shared" si="16"/>
        <v>28</v>
      </c>
      <c r="T24" s="29">
        <f t="shared" si="16"/>
        <v>29.851632112000004</v>
      </c>
      <c r="U24" s="29">
        <f t="shared" si="16"/>
        <v>21.848003753000004</v>
      </c>
      <c r="V24" s="29">
        <f t="shared" si="16"/>
        <v>29.300611658000001</v>
      </c>
      <c r="W24" s="29">
        <f t="shared" si="16"/>
        <v>29.4</v>
      </c>
      <c r="X24" s="29">
        <f t="shared" si="16"/>
        <v>35.836244550000004</v>
      </c>
      <c r="Y24" s="29">
        <f t="shared" si="16"/>
        <v>26.215077972368299</v>
      </c>
      <c r="Z24" s="29">
        <f t="shared" ref="Z24" si="17">SUM(Z25:Z26)</f>
        <v>29.41226087674421</v>
      </c>
      <c r="AA24" s="29">
        <f t="shared" ref="AA24:AJ24" si="18">SUM(AA25:AA26)</f>
        <v>36.519630291729221</v>
      </c>
      <c r="AB24" s="29">
        <f t="shared" si="18"/>
        <v>43.706121845772216</v>
      </c>
      <c r="AC24" s="29">
        <f t="shared" si="18"/>
        <v>26.576624748011</v>
      </c>
      <c r="AD24" s="29">
        <f t="shared" si="18"/>
        <v>60.150467104336997</v>
      </c>
      <c r="AE24" s="29">
        <f t="shared" si="18"/>
        <v>108.44471372218833</v>
      </c>
      <c r="AF24" s="29">
        <f t="shared" si="18"/>
        <v>105.50269951004388</v>
      </c>
      <c r="AG24" s="29">
        <f t="shared" si="18"/>
        <v>26.318386791767686</v>
      </c>
      <c r="AH24" s="29">
        <f t="shared" si="18"/>
        <v>24.394579026104999</v>
      </c>
      <c r="AI24" s="29">
        <f t="shared" si="18"/>
        <v>38.531512138870092</v>
      </c>
      <c r="AJ24" s="29">
        <f t="shared" si="18"/>
        <v>42.633872261769937</v>
      </c>
      <c r="AK24" s="29">
        <f>SUM(AK25:AK26)</f>
        <v>27.695489046976014</v>
      </c>
    </row>
    <row r="25" spans="1:37" x14ac:dyDescent="0.35">
      <c r="A25" s="1">
        <f t="shared" si="0"/>
        <v>20</v>
      </c>
      <c r="B25" s="5" t="s">
        <v>41</v>
      </c>
      <c r="C25" s="25">
        <f t="shared" si="10"/>
        <v>19.689539782499988</v>
      </c>
      <c r="D25" s="79">
        <f t="shared" si="11"/>
        <v>21.419570000000014</v>
      </c>
      <c r="E25" s="64">
        <f t="shared" si="15"/>
        <v>8.7865447166910027E-2</v>
      </c>
      <c r="H25" s="5" t="s">
        <v>41</v>
      </c>
      <c r="I25" s="30">
        <v>0</v>
      </c>
      <c r="J25" s="30">
        <v>0</v>
      </c>
      <c r="K25" s="30">
        <v>0</v>
      </c>
      <c r="L25" s="25">
        <v>27</v>
      </c>
      <c r="M25" s="25">
        <v>17.866000000000003</v>
      </c>
      <c r="N25" s="25">
        <v>27.525100000000002</v>
      </c>
      <c r="O25" s="25">
        <v>27.0913</v>
      </c>
      <c r="P25" s="25">
        <v>38.855344280000011</v>
      </c>
      <c r="Q25" s="25">
        <v>18.837700000000002</v>
      </c>
      <c r="R25" s="25">
        <v>18.474769999999999</v>
      </c>
      <c r="S25" s="25">
        <v>28</v>
      </c>
      <c r="T25" s="25">
        <v>29.851632112000004</v>
      </c>
      <c r="U25" s="25">
        <v>21.848003753000004</v>
      </c>
      <c r="V25" s="25">
        <v>29.300611658000001</v>
      </c>
      <c r="W25" s="25">
        <v>29.4</v>
      </c>
      <c r="X25" s="25">
        <v>35.836244550000004</v>
      </c>
      <c r="Y25" s="25">
        <v>25.603801381104297</v>
      </c>
      <c r="Z25" s="25">
        <v>26.332554626443208</v>
      </c>
      <c r="AA25" s="25">
        <v>33.033485733932224</v>
      </c>
      <c r="AB25" s="25">
        <v>36.79612184577222</v>
      </c>
      <c r="AC25" s="25">
        <v>20.165046798408</v>
      </c>
      <c r="AD25" s="25">
        <v>57.085455013663996</v>
      </c>
      <c r="AE25" s="25">
        <v>104.68628249675183</v>
      </c>
      <c r="AF25" s="25">
        <v>98.468849971651082</v>
      </c>
      <c r="AG25" s="30">
        <v>19.689539782499988</v>
      </c>
      <c r="AH25" s="25">
        <v>21.309542624999999</v>
      </c>
      <c r="AI25" s="25">
        <v>34.433420699999992</v>
      </c>
      <c r="AJ25" s="25">
        <v>35.235859575000035</v>
      </c>
      <c r="AK25" s="30">
        <v>21.419570000000014</v>
      </c>
    </row>
    <row r="26" spans="1:37" x14ac:dyDescent="0.35">
      <c r="A26" s="1">
        <f t="shared" si="0"/>
        <v>21</v>
      </c>
      <c r="B26" s="5" t="s">
        <v>42</v>
      </c>
      <c r="C26" s="25">
        <f t="shared" si="10"/>
        <v>6.6288470092676999</v>
      </c>
      <c r="D26" s="79">
        <f t="shared" si="11"/>
        <v>6.2759190469760009</v>
      </c>
      <c r="E26" s="64">
        <f t="shared" si="15"/>
        <v>-5.3241229100366216E-2</v>
      </c>
      <c r="H26" s="5" t="s">
        <v>42</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0.61127659126400002</v>
      </c>
      <c r="Z26" s="30">
        <v>3.0797062503010002</v>
      </c>
      <c r="AA26" s="30">
        <v>3.4861445577970001</v>
      </c>
      <c r="AB26" s="30">
        <v>6.91</v>
      </c>
      <c r="AC26" s="30">
        <v>6.4115779496030001</v>
      </c>
      <c r="AD26" s="30">
        <v>3.0650120906730001</v>
      </c>
      <c r="AE26" s="30">
        <v>3.7584312254364995</v>
      </c>
      <c r="AF26" s="25">
        <v>7.0338495383928006</v>
      </c>
      <c r="AG26" s="30">
        <v>6.6288470092676999</v>
      </c>
      <c r="AH26" s="30">
        <v>3.085036401105</v>
      </c>
      <c r="AI26" s="30">
        <v>4.0980914388700995</v>
      </c>
      <c r="AJ26" s="30">
        <v>7.398012686769901</v>
      </c>
      <c r="AK26" s="30">
        <v>6.2759190469760009</v>
      </c>
    </row>
    <row r="27" spans="1:37" x14ac:dyDescent="0.35">
      <c r="A27" s="1">
        <f t="shared" si="0"/>
        <v>22</v>
      </c>
      <c r="B27" s="28" t="s">
        <v>43</v>
      </c>
      <c r="C27" s="59">
        <f t="shared" si="10"/>
        <v>0</v>
      </c>
      <c r="D27" s="80">
        <f t="shared" si="11"/>
        <v>310.77272245930499</v>
      </c>
      <c r="E27" s="87" t="s">
        <v>44</v>
      </c>
      <c r="H27" s="28" t="s">
        <v>43</v>
      </c>
      <c r="I27" s="30">
        <v>0</v>
      </c>
      <c r="J27" s="30">
        <v>0</v>
      </c>
      <c r="K27" s="29">
        <v>23.8</v>
      </c>
      <c r="L27" s="29">
        <v>119.8</v>
      </c>
      <c r="M27" s="30">
        <v>0</v>
      </c>
      <c r="N27" s="30">
        <v>0</v>
      </c>
      <c r="O27" s="30">
        <v>0</v>
      </c>
      <c r="P27" s="29">
        <v>124</v>
      </c>
      <c r="Q27" s="30">
        <v>0</v>
      </c>
      <c r="R27" s="30">
        <v>0</v>
      </c>
      <c r="S27" s="29">
        <v>433</v>
      </c>
      <c r="T27" s="29">
        <v>490</v>
      </c>
      <c r="U27" s="30">
        <v>0</v>
      </c>
      <c r="V27" s="30">
        <v>0</v>
      </c>
      <c r="W27" s="29">
        <v>52.114804692825103</v>
      </c>
      <c r="X27" s="31">
        <v>0</v>
      </c>
      <c r="Y27" s="31">
        <v>0</v>
      </c>
      <c r="Z27" s="31">
        <v>0</v>
      </c>
      <c r="AA27" s="31">
        <v>65.028804890240636</v>
      </c>
      <c r="AB27" s="31">
        <v>29.296061395493101</v>
      </c>
      <c r="AC27" s="31">
        <v>0</v>
      </c>
      <c r="AD27" s="31">
        <v>0</v>
      </c>
      <c r="AE27" s="31">
        <v>369</v>
      </c>
      <c r="AF27" s="31">
        <v>102.91959303165353</v>
      </c>
      <c r="AG27" s="31">
        <v>0</v>
      </c>
      <c r="AH27" s="31">
        <v>0</v>
      </c>
      <c r="AI27" s="31">
        <v>0</v>
      </c>
      <c r="AJ27" s="31">
        <v>269.7378305259823</v>
      </c>
      <c r="AK27" s="31">
        <v>310.77272245930499</v>
      </c>
    </row>
    <row r="28" spans="1:37" ht="5.25" customHeight="1" x14ac:dyDescent="0.35">
      <c r="A28" s="1">
        <f t="shared" si="0"/>
        <v>23</v>
      </c>
      <c r="C28" s="67">
        <f t="shared" si="10"/>
        <v>0</v>
      </c>
      <c r="E28" s="60"/>
      <c r="I28" s="26"/>
      <c r="J28" s="26"/>
      <c r="K28" s="26"/>
      <c r="L28" s="26"/>
      <c r="M28" s="26"/>
      <c r="N28" s="26"/>
      <c r="O28" s="26"/>
      <c r="P28" s="26"/>
      <c r="Q28" s="26"/>
      <c r="R28" s="26"/>
      <c r="S28" s="26"/>
      <c r="T28" s="26"/>
      <c r="U28" s="26"/>
      <c r="V28" s="26"/>
      <c r="W28" s="26"/>
      <c r="X28" s="26"/>
      <c r="Y28" s="26"/>
      <c r="Z28" s="26"/>
      <c r="AA28" s="26"/>
      <c r="AB28" s="26"/>
      <c r="AC28" s="26"/>
      <c r="AD28" s="26"/>
      <c r="AE28" s="26"/>
      <c r="AF28" s="26"/>
      <c r="AG28" s="26"/>
      <c r="AH28" s="26"/>
      <c r="AI28" s="26"/>
      <c r="AJ28" s="26"/>
      <c r="AK28" s="26"/>
    </row>
    <row r="29" spans="1:37" x14ac:dyDescent="0.35">
      <c r="A29" s="1">
        <f t="shared" si="0"/>
        <v>24</v>
      </c>
      <c r="B29" s="20" t="s">
        <v>45</v>
      </c>
      <c r="C29" s="70">
        <f t="shared" si="10"/>
        <v>399.97817196043991</v>
      </c>
      <c r="D29" s="81">
        <f t="shared" si="11"/>
        <v>-212.46003360604038</v>
      </c>
      <c r="E29" s="71" t="s">
        <v>44</v>
      </c>
      <c r="H29" s="20" t="s">
        <v>45</v>
      </c>
      <c r="I29" s="27">
        <f>I13-I27</f>
        <v>218.96751644732302</v>
      </c>
      <c r="J29" s="27">
        <f t="shared" ref="J29:W29" si="19">J13-J27</f>
        <v>424.53248355267698</v>
      </c>
      <c r="K29" s="27">
        <f t="shared" si="19"/>
        <v>123.2</v>
      </c>
      <c r="L29" s="27">
        <f t="shared" si="19"/>
        <v>-119.8</v>
      </c>
      <c r="M29" s="27">
        <f t="shared" si="19"/>
        <v>327</v>
      </c>
      <c r="N29" s="27">
        <f t="shared" si="19"/>
        <v>484</v>
      </c>
      <c r="O29" s="27">
        <f t="shared" si="19"/>
        <v>455.71628899999996</v>
      </c>
      <c r="P29" s="27">
        <f t="shared" si="19"/>
        <v>53.761164545645784</v>
      </c>
      <c r="Q29" s="27">
        <f t="shared" si="19"/>
        <v>402.79276660438609</v>
      </c>
      <c r="R29" s="27">
        <f t="shared" si="19"/>
        <v>512.70931975909969</v>
      </c>
      <c r="S29" s="27">
        <f t="shared" si="19"/>
        <v>-433</v>
      </c>
      <c r="T29" s="27">
        <f t="shared" si="19"/>
        <v>-490</v>
      </c>
      <c r="U29" s="27">
        <f>U13-U27</f>
        <v>355.57419945754248</v>
      </c>
      <c r="V29" s="27">
        <f t="shared" si="19"/>
        <v>476.44857716393153</v>
      </c>
      <c r="W29" s="27">
        <f t="shared" si="19"/>
        <v>163.68519530717492</v>
      </c>
      <c r="X29" s="27">
        <f t="shared" ref="X29:Y29" si="20">X13-X27</f>
        <v>345.10789999999997</v>
      </c>
      <c r="Y29" s="27">
        <f t="shared" si="20"/>
        <v>524.51625259600632</v>
      </c>
      <c r="Z29" s="27">
        <f>Z13-Z27</f>
        <v>517.42100000000005</v>
      </c>
      <c r="AA29" s="27">
        <f>AA13-AA27</f>
        <v>49.138423481814684</v>
      </c>
      <c r="AB29" s="27">
        <f t="shared" ref="AB29:AE29" si="21">AB13-AB27</f>
        <v>127.18293860450689</v>
      </c>
      <c r="AC29" s="27">
        <f t="shared" si="21"/>
        <v>679.59258450063749</v>
      </c>
      <c r="AD29" s="27">
        <f t="shared" si="21"/>
        <v>565.63741879474242</v>
      </c>
      <c r="AE29" s="27">
        <f t="shared" si="21"/>
        <v>-338</v>
      </c>
      <c r="AF29" s="27">
        <f t="shared" ref="AF29:AK29" si="22">AF13-AF27</f>
        <v>-102.91959303165353</v>
      </c>
      <c r="AG29" s="27">
        <f t="shared" si="22"/>
        <v>399.97817196043991</v>
      </c>
      <c r="AH29" s="27">
        <f t="shared" si="22"/>
        <v>500.52412506537814</v>
      </c>
      <c r="AI29" s="27">
        <f t="shared" si="22"/>
        <v>786.93005229864139</v>
      </c>
      <c r="AJ29" s="27">
        <f t="shared" si="22"/>
        <v>-236.99871302094743</v>
      </c>
      <c r="AK29" s="27">
        <f t="shared" si="22"/>
        <v>-212.46003360604038</v>
      </c>
    </row>
    <row r="30" spans="1:37" x14ac:dyDescent="0.35">
      <c r="C30" s="60"/>
      <c r="E30" s="60"/>
    </row>
    <row r="34" spans="1:37" ht="23.4" x14ac:dyDescent="0.45">
      <c r="B34" s="12" t="s">
        <v>46</v>
      </c>
      <c r="C34" s="13"/>
      <c r="D34" s="76"/>
      <c r="E34" s="13"/>
      <c r="H34" s="12" t="s">
        <v>46</v>
      </c>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row>
    <row r="36" spans="1:37" x14ac:dyDescent="0.35">
      <c r="A36" s="1">
        <v>1</v>
      </c>
      <c r="B36" s="3" t="s">
        <v>1</v>
      </c>
      <c r="C36" s="99" t="s">
        <v>128</v>
      </c>
      <c r="D36" s="100" t="s">
        <v>143</v>
      </c>
      <c r="E36" s="99" t="s">
        <v>4</v>
      </c>
      <c r="H36" s="3" t="s">
        <v>5</v>
      </c>
      <c r="I36" s="99" t="s">
        <v>6</v>
      </c>
      <c r="J36" s="99" t="s">
        <v>7</v>
      </c>
      <c r="K36" s="99" t="s">
        <v>8</v>
      </c>
      <c r="L36" s="99" t="s">
        <v>9</v>
      </c>
      <c r="M36" s="99" t="s">
        <v>10</v>
      </c>
      <c r="N36" s="99" t="s">
        <v>11</v>
      </c>
      <c r="O36" s="99" t="s">
        <v>12</v>
      </c>
      <c r="P36" s="99" t="s">
        <v>13</v>
      </c>
      <c r="Q36" s="99" t="s">
        <v>14</v>
      </c>
      <c r="R36" s="99" t="s">
        <v>15</v>
      </c>
      <c r="S36" s="99" t="s">
        <v>16</v>
      </c>
      <c r="T36" s="99" t="s">
        <v>17</v>
      </c>
      <c r="U36" s="99" t="s">
        <v>18</v>
      </c>
      <c r="V36" s="99" t="s">
        <v>19</v>
      </c>
      <c r="W36" s="99" t="s">
        <v>20</v>
      </c>
      <c r="X36" s="99" t="s">
        <v>21</v>
      </c>
      <c r="Y36" s="99" t="s">
        <v>22</v>
      </c>
      <c r="Z36" s="99" t="s">
        <v>23</v>
      </c>
      <c r="AA36" s="99" t="s">
        <v>24</v>
      </c>
      <c r="AB36" s="99" t="s">
        <v>2</v>
      </c>
      <c r="AC36" s="99" t="s">
        <v>25</v>
      </c>
      <c r="AD36" s="99" t="s">
        <v>26</v>
      </c>
      <c r="AE36" s="99" t="s">
        <v>27</v>
      </c>
      <c r="AF36" s="99" t="s">
        <v>3</v>
      </c>
      <c r="AG36" s="99" t="s">
        <v>128</v>
      </c>
      <c r="AH36" s="99" t="s">
        <v>130</v>
      </c>
      <c r="AI36" s="99" t="s">
        <v>139</v>
      </c>
      <c r="AJ36" s="99" t="s">
        <v>141</v>
      </c>
      <c r="AK36" s="99" t="s">
        <v>143</v>
      </c>
    </row>
    <row r="37" spans="1:37" x14ac:dyDescent="0.35">
      <c r="A37" s="1">
        <v>2</v>
      </c>
      <c r="B37" s="3" t="s">
        <v>28</v>
      </c>
      <c r="C37" s="99"/>
      <c r="D37" s="100"/>
      <c r="E37" s="99"/>
      <c r="H37" s="3" t="s">
        <v>28</v>
      </c>
      <c r="I37" s="99"/>
      <c r="J37" s="99"/>
      <c r="K37" s="99"/>
      <c r="L37" s="99"/>
      <c r="M37" s="99"/>
      <c r="N37" s="99"/>
      <c r="O37" s="99"/>
      <c r="P37" s="99"/>
      <c r="Q37" s="99"/>
      <c r="R37" s="99"/>
      <c r="S37" s="99"/>
      <c r="T37" s="99"/>
      <c r="U37" s="99"/>
      <c r="V37" s="99"/>
      <c r="W37" s="99"/>
      <c r="X37" s="99"/>
      <c r="Y37" s="99"/>
      <c r="Z37" s="99"/>
      <c r="AA37" s="99"/>
      <c r="AB37" s="99"/>
      <c r="AC37" s="99"/>
      <c r="AD37" s="99"/>
      <c r="AE37" s="99"/>
      <c r="AF37" s="99"/>
      <c r="AG37" s="99"/>
      <c r="AH37" s="99"/>
      <c r="AI37" s="99"/>
      <c r="AJ37" s="99"/>
      <c r="AK37" s="99"/>
    </row>
    <row r="38" spans="1:37" x14ac:dyDescent="0.35">
      <c r="A38" s="1">
        <v>3</v>
      </c>
    </row>
    <row r="39" spans="1:37" x14ac:dyDescent="0.35">
      <c r="A39" s="1">
        <v>4</v>
      </c>
      <c r="B39" s="6" t="s">
        <v>29</v>
      </c>
      <c r="C39" s="24">
        <f>+HLOOKUP($C$36,$H$36:$AO$51,A39,FALSE)</f>
        <v>515.44411977188861</v>
      </c>
      <c r="D39" s="78">
        <f>+HLOOKUP($D$36,H36:AO51,A39,FALSE)</f>
        <v>560.96413158793575</v>
      </c>
      <c r="E39" s="62">
        <f>D39/C39-1</f>
        <v>8.8312214787108489E-2</v>
      </c>
      <c r="H39" s="6" t="s">
        <v>29</v>
      </c>
      <c r="I39" s="32"/>
      <c r="J39" s="32"/>
      <c r="K39" s="32"/>
      <c r="L39" s="32"/>
      <c r="M39" s="32"/>
      <c r="N39" s="32"/>
      <c r="O39" s="32"/>
      <c r="P39" s="32"/>
      <c r="Q39" s="24">
        <f>Q41+Q42</f>
        <v>896.15477393720892</v>
      </c>
      <c r="R39" s="24">
        <f t="shared" ref="R39:W39" si="23">R41+R42</f>
        <v>966.33258163299797</v>
      </c>
      <c r="S39" s="24">
        <f t="shared" si="23"/>
        <v>931.47193074071765</v>
      </c>
      <c r="T39" s="24">
        <f t="shared" si="23"/>
        <v>1184.7649773808278</v>
      </c>
      <c r="U39" s="24">
        <f t="shared" si="23"/>
        <v>788.82634795288288</v>
      </c>
      <c r="V39" s="24">
        <f t="shared" si="23"/>
        <v>1049</v>
      </c>
      <c r="W39" s="24">
        <f t="shared" si="23"/>
        <v>1163.3114928183011</v>
      </c>
      <c r="X39" s="24">
        <f t="shared" ref="X39:Y39" si="24">X41+X42</f>
        <v>1110.2813305312957</v>
      </c>
      <c r="Y39" s="24">
        <f t="shared" si="24"/>
        <v>809.94496876190215</v>
      </c>
      <c r="Z39" s="24">
        <f t="shared" ref="Z39:AE39" si="25">Z41+Z42</f>
        <v>978.76345776423216</v>
      </c>
      <c r="AA39" s="24">
        <f t="shared" si="25"/>
        <v>1096.5211357750077</v>
      </c>
      <c r="AB39" s="24">
        <f t="shared" si="25"/>
        <v>1159.7479302785923</v>
      </c>
      <c r="AC39" s="24">
        <f t="shared" si="25"/>
        <v>941.93401631200777</v>
      </c>
      <c r="AD39" s="24">
        <f t="shared" si="25"/>
        <v>983.01939262984422</v>
      </c>
      <c r="AE39" s="24">
        <f t="shared" si="25"/>
        <v>1160.60459709322</v>
      </c>
      <c r="AF39" s="24">
        <f t="shared" ref="AF39:AK39" si="26">AF41+AF42</f>
        <v>825.0815780808764</v>
      </c>
      <c r="AG39" s="24">
        <f t="shared" si="26"/>
        <v>515.44411977188861</v>
      </c>
      <c r="AH39" s="24">
        <f t="shared" si="26"/>
        <v>627.93849402771116</v>
      </c>
      <c r="AI39" s="24">
        <f t="shared" si="26"/>
        <v>1018.8991882348981</v>
      </c>
      <c r="AJ39" s="24">
        <f t="shared" si="26"/>
        <v>980.50098632936749</v>
      </c>
      <c r="AK39" s="24">
        <f t="shared" si="26"/>
        <v>560.96413158793575</v>
      </c>
    </row>
    <row r="40" spans="1:37" ht="6" customHeight="1" x14ac:dyDescent="0.35">
      <c r="A40" s="1">
        <v>5</v>
      </c>
      <c r="E40" s="60"/>
      <c r="I40" s="33"/>
      <c r="J40" s="33"/>
      <c r="K40" s="33"/>
      <c r="L40" s="33"/>
      <c r="M40" s="33"/>
      <c r="N40" s="33"/>
      <c r="O40" s="33"/>
      <c r="P40" s="33"/>
    </row>
    <row r="41" spans="1:37" x14ac:dyDescent="0.35">
      <c r="A41" s="1">
        <v>6</v>
      </c>
      <c r="B41" s="5" t="s">
        <v>47</v>
      </c>
      <c r="C41" s="25">
        <f>+HLOOKUP($C$36,$H$36:$AO$51,A41,FALSE)</f>
        <v>515.44411977188861</v>
      </c>
      <c r="D41" s="79">
        <f>+HLOOKUP($D$36,$H$36:$BF$51,A41,FALSE)</f>
        <v>509.42713583293488</v>
      </c>
      <c r="E41" s="64">
        <f>+D41/C41-1</f>
        <v>-1.1673397189236656E-2</v>
      </c>
      <c r="F41" s="55"/>
      <c r="H41" s="5" t="s">
        <v>47</v>
      </c>
      <c r="I41" s="34"/>
      <c r="J41" s="34"/>
      <c r="K41" s="34"/>
      <c r="L41" s="34"/>
      <c r="M41" s="34"/>
      <c r="N41" s="34"/>
      <c r="O41" s="34"/>
      <c r="P41" s="34"/>
      <c r="Q41" s="25">
        <v>896.15477393720892</v>
      </c>
      <c r="R41" s="25">
        <v>895</v>
      </c>
      <c r="S41" s="25">
        <v>660.8546595771212</v>
      </c>
      <c r="T41" s="25">
        <v>701.74175820562186</v>
      </c>
      <c r="U41" s="25">
        <v>670.14557932067135</v>
      </c>
      <c r="V41" s="25">
        <v>713</v>
      </c>
      <c r="W41" s="25">
        <v>808.7313863700075</v>
      </c>
      <c r="X41" s="25">
        <v>820.11765848199025</v>
      </c>
      <c r="Y41" s="25">
        <v>754.11900053134241</v>
      </c>
      <c r="Z41" s="25">
        <v>805.13023617018166</v>
      </c>
      <c r="AA41" s="25">
        <v>725.43641713442707</v>
      </c>
      <c r="AB41" s="25">
        <v>716.78307257861093</v>
      </c>
      <c r="AC41" s="25">
        <v>752.74025687093615</v>
      </c>
      <c r="AD41" s="25">
        <v>706.19687364754577</v>
      </c>
      <c r="AE41" s="25">
        <v>730.50346933265155</v>
      </c>
      <c r="AF41" s="25">
        <v>732.89679752741722</v>
      </c>
      <c r="AG41" s="25">
        <v>515.44411977188861</v>
      </c>
      <c r="AH41" s="25">
        <v>503.65128391584426</v>
      </c>
      <c r="AI41" s="25">
        <v>676.5434032131883</v>
      </c>
      <c r="AJ41" s="25">
        <v>700.63336412872525</v>
      </c>
      <c r="AK41" s="25">
        <v>509.42713583293488</v>
      </c>
    </row>
    <row r="42" spans="1:37" x14ac:dyDescent="0.35">
      <c r="A42" s="1">
        <v>7</v>
      </c>
      <c r="B42" s="5" t="s">
        <v>32</v>
      </c>
      <c r="C42" s="25">
        <f>+HLOOKUP($C$36,$H$36:$AO$51,A42,FALSE)</f>
        <v>0</v>
      </c>
      <c r="D42" s="79">
        <f>+HLOOKUP($D$36,$H$36:$BF$51,A42,FALSE)</f>
        <v>51.536995755000873</v>
      </c>
      <c r="E42" s="64" t="s">
        <v>44</v>
      </c>
      <c r="H42" s="5" t="s">
        <v>32</v>
      </c>
      <c r="I42" s="34"/>
      <c r="J42" s="34"/>
      <c r="K42" s="34"/>
      <c r="L42" s="34"/>
      <c r="M42" s="34"/>
      <c r="N42" s="34"/>
      <c r="O42" s="34"/>
      <c r="P42" s="34"/>
      <c r="Q42" s="34">
        <v>0</v>
      </c>
      <c r="R42" s="25">
        <v>71.332581632997972</v>
      </c>
      <c r="S42" s="25">
        <v>270.61727116359646</v>
      </c>
      <c r="T42" s="25">
        <v>483.0232191752059</v>
      </c>
      <c r="U42" s="25">
        <v>118.68076863221151</v>
      </c>
      <c r="V42" s="25">
        <v>336</v>
      </c>
      <c r="W42" s="25">
        <v>354.58010644829352</v>
      </c>
      <c r="X42" s="25">
        <v>290.16367204930543</v>
      </c>
      <c r="Y42" s="25">
        <v>55.825968230559759</v>
      </c>
      <c r="Z42" s="25">
        <v>173.63322159405053</v>
      </c>
      <c r="AA42" s="25">
        <v>371.0847186405806</v>
      </c>
      <c r="AB42" s="25">
        <v>442.96485769998151</v>
      </c>
      <c r="AC42" s="25">
        <v>189.19375944107159</v>
      </c>
      <c r="AD42" s="25">
        <v>276.82251898229845</v>
      </c>
      <c r="AE42" s="25">
        <v>430.10112776056849</v>
      </c>
      <c r="AF42" s="25">
        <v>92.184780553459206</v>
      </c>
      <c r="AG42" s="25">
        <v>0</v>
      </c>
      <c r="AH42" s="25">
        <v>124.28721011186687</v>
      </c>
      <c r="AI42" s="25">
        <v>342.35578502170983</v>
      </c>
      <c r="AJ42" s="25">
        <v>279.86762220064224</v>
      </c>
      <c r="AK42" s="25">
        <v>51.536995755000873</v>
      </c>
    </row>
    <row r="43" spans="1:37" ht="6" customHeight="1" x14ac:dyDescent="0.35">
      <c r="A43" s="1">
        <v>8</v>
      </c>
      <c r="C43" s="26">
        <f>+HLOOKUP($C$36,$H$36:$AO$51,A43,FALSE)</f>
        <v>0</v>
      </c>
      <c r="E43" s="60"/>
      <c r="I43" s="33"/>
      <c r="J43" s="33"/>
      <c r="K43" s="33"/>
      <c r="L43" s="33"/>
      <c r="M43" s="33"/>
      <c r="N43" s="33"/>
      <c r="O43" s="33"/>
      <c r="P43" s="33"/>
      <c r="Q43" s="26"/>
      <c r="R43" s="26"/>
      <c r="S43" s="26"/>
      <c r="T43" s="26"/>
      <c r="U43" s="26"/>
      <c r="V43" s="26"/>
      <c r="W43" s="26"/>
      <c r="X43" s="26"/>
      <c r="Y43" s="26"/>
      <c r="Z43" s="26"/>
      <c r="AA43" s="26"/>
      <c r="AB43" s="26"/>
      <c r="AC43" s="26"/>
      <c r="AD43" s="26"/>
      <c r="AE43" s="26"/>
      <c r="AF43" s="26"/>
      <c r="AG43" s="26"/>
      <c r="AH43" s="26"/>
      <c r="AI43" s="26"/>
      <c r="AJ43" s="26"/>
      <c r="AK43" s="26"/>
    </row>
    <row r="44" spans="1:37" x14ac:dyDescent="0.35">
      <c r="A44" s="1">
        <v>9</v>
      </c>
      <c r="B44" s="5" t="s">
        <v>33</v>
      </c>
      <c r="C44" s="25">
        <f>+HLOOKUP($C$36,$H$36:$AO$51,A44,FALSE)</f>
        <v>557.94881104256535</v>
      </c>
      <c r="D44" s="79">
        <f>+HLOOKUP($D$36,$H$36:$BF$51,A44,FALSE)</f>
        <v>560.43931524796665</v>
      </c>
      <c r="E44" s="64">
        <f t="shared" ref="E44" si="27">+D44/C44-1</f>
        <v>4.4636786674885354E-3</v>
      </c>
      <c r="H44" s="5" t="s">
        <v>33</v>
      </c>
      <c r="I44" s="34"/>
      <c r="J44" s="34"/>
      <c r="K44" s="34"/>
      <c r="L44" s="34"/>
      <c r="M44" s="34"/>
      <c r="N44" s="34"/>
      <c r="O44" s="34"/>
      <c r="P44" s="34"/>
      <c r="Q44" s="25">
        <v>561</v>
      </c>
      <c r="R44" s="25">
        <v>561.85</v>
      </c>
      <c r="S44" s="25">
        <v>563</v>
      </c>
      <c r="T44" s="25">
        <v>563.79843672169034</v>
      </c>
      <c r="U44" s="25">
        <v>562.0491675086156</v>
      </c>
      <c r="V44" s="25">
        <v>555</v>
      </c>
      <c r="W44" s="25">
        <v>556.32527854111379</v>
      </c>
      <c r="X44" s="25">
        <v>553.79857139638716</v>
      </c>
      <c r="Y44" s="25">
        <v>551.44933226868807</v>
      </c>
      <c r="Z44" s="25">
        <v>550.05621080812159</v>
      </c>
      <c r="AA44" s="25">
        <v>552.75187275807718</v>
      </c>
      <c r="AB44" s="25">
        <v>553.50897294893377</v>
      </c>
      <c r="AC44" s="25">
        <v>554.83417320313413</v>
      </c>
      <c r="AD44" s="25">
        <v>556.62828233456105</v>
      </c>
      <c r="AE44" s="25">
        <v>430.10112776056849</v>
      </c>
      <c r="AF44" s="25">
        <v>558.47159496645133</v>
      </c>
      <c r="AG44" s="25">
        <v>557.94881104256535</v>
      </c>
      <c r="AH44" s="25">
        <v>559.66719784939505</v>
      </c>
      <c r="AI44" s="25">
        <v>558.44830965854737</v>
      </c>
      <c r="AJ44" s="25">
        <v>558.44795283732333</v>
      </c>
      <c r="AK44" s="25">
        <v>560.43931524796665</v>
      </c>
    </row>
    <row r="45" spans="1:37" ht="12.75" customHeight="1" x14ac:dyDescent="0.35">
      <c r="A45" s="1">
        <v>10</v>
      </c>
      <c r="E45" s="60"/>
      <c r="I45" s="33"/>
      <c r="J45" s="33"/>
      <c r="K45" s="33"/>
      <c r="L45" s="33"/>
      <c r="M45" s="33"/>
      <c r="N45" s="33"/>
      <c r="O45" s="33"/>
      <c r="P45" s="33"/>
    </row>
    <row r="46" spans="1:37" x14ac:dyDescent="0.35">
      <c r="A46" s="1">
        <v>11</v>
      </c>
      <c r="B46" s="6" t="s">
        <v>34</v>
      </c>
      <c r="C46" s="24">
        <f>+HLOOKUP($C$36,$H$36:$AO$51,A46,FALSE)</f>
        <v>343.09821429481127</v>
      </c>
      <c r="D46" s="78">
        <f>+HLOOKUP($D$36,$H$36:$BF$51,A46,FALSE)</f>
        <v>520.66747253658468</v>
      </c>
      <c r="E46" s="62">
        <f>D46/C46-1</f>
        <v>0.51754643668647859</v>
      </c>
      <c r="H46" s="6" t="s">
        <v>34</v>
      </c>
      <c r="I46" s="32"/>
      <c r="J46" s="32"/>
      <c r="K46" s="32"/>
      <c r="L46" s="32"/>
      <c r="M46" s="32"/>
      <c r="N46" s="32"/>
      <c r="O46" s="32"/>
      <c r="P46" s="32"/>
      <c r="Q46" s="24">
        <v>663</v>
      </c>
      <c r="R46" s="24">
        <v>800</v>
      </c>
      <c r="S46" s="24">
        <v>906.60296019489226</v>
      </c>
      <c r="T46" s="24">
        <v>1211</v>
      </c>
      <c r="U46" s="24">
        <v>715.32866794394647</v>
      </c>
      <c r="V46" s="24">
        <v>1074</v>
      </c>
      <c r="W46" s="24">
        <v>1188.0124632138675</v>
      </c>
      <c r="X46" s="24">
        <f t="shared" ref="X46:AK46" si="28">X48</f>
        <v>1135.4340123571928</v>
      </c>
      <c r="Y46" s="24">
        <f t="shared" si="28"/>
        <v>604.51495743320493</v>
      </c>
      <c r="Z46" s="24">
        <f t="shared" si="28"/>
        <v>1002.3766853551615</v>
      </c>
      <c r="AA46" s="24">
        <f t="shared" si="28"/>
        <v>1120.5979260393226</v>
      </c>
      <c r="AB46" s="24">
        <f t="shared" si="28"/>
        <v>1186.0360253896108</v>
      </c>
      <c r="AC46" s="24">
        <f t="shared" si="28"/>
        <v>931.62044726669956</v>
      </c>
      <c r="AD46" s="24">
        <f t="shared" si="28"/>
        <v>937.26247630600551</v>
      </c>
      <c r="AE46" s="24">
        <f t="shared" si="28"/>
        <v>1185.39815986183</v>
      </c>
      <c r="AF46" s="24">
        <f t="shared" si="28"/>
        <v>713.17974191683015</v>
      </c>
      <c r="AG46" s="24">
        <f t="shared" si="28"/>
        <v>343.09821429481127</v>
      </c>
      <c r="AH46" s="24">
        <f t="shared" si="28"/>
        <v>512.9721762170193</v>
      </c>
      <c r="AI46" s="24">
        <f t="shared" si="28"/>
        <v>1041.8325739005161</v>
      </c>
      <c r="AJ46" s="24">
        <f t="shared" si="28"/>
        <v>989.03271813771471</v>
      </c>
      <c r="AK46" s="24">
        <f t="shared" si="28"/>
        <v>520.66747253658468</v>
      </c>
    </row>
    <row r="47" spans="1:37" ht="6" customHeight="1" x14ac:dyDescent="0.35">
      <c r="A47" s="1">
        <v>12</v>
      </c>
      <c r="E47" s="60"/>
      <c r="I47" s="33"/>
      <c r="J47" s="33"/>
      <c r="K47" s="33"/>
      <c r="L47" s="33"/>
      <c r="M47" s="33"/>
      <c r="N47" s="33"/>
      <c r="O47" s="33"/>
      <c r="P47" s="33"/>
    </row>
    <row r="48" spans="1:37" x14ac:dyDescent="0.35">
      <c r="A48" s="1">
        <v>13</v>
      </c>
      <c r="B48" s="5" t="s">
        <v>48</v>
      </c>
      <c r="C48" s="25">
        <f>+HLOOKUP($C$36,$H$36:$AO$51,A48,FALSE)</f>
        <v>343.09821429481127</v>
      </c>
      <c r="D48" s="79">
        <f>+HLOOKUP($D$36,$H$36:$BF$51,A48,FALSE)</f>
        <v>520.66747253658468</v>
      </c>
      <c r="E48" s="64">
        <f t="shared" ref="E48:E49" si="29">+D48/C48-1</f>
        <v>0.51754643668647859</v>
      </c>
      <c r="H48" s="5" t="s">
        <v>48</v>
      </c>
      <c r="I48" s="34"/>
      <c r="J48" s="34"/>
      <c r="K48" s="34"/>
      <c r="L48" s="34"/>
      <c r="M48" s="34"/>
      <c r="N48" s="34"/>
      <c r="O48" s="34"/>
      <c r="P48" s="34"/>
      <c r="Q48" s="25">
        <v>663</v>
      </c>
      <c r="R48" s="25">
        <v>800</v>
      </c>
      <c r="S48" s="25">
        <v>906.60296019489226</v>
      </c>
      <c r="T48" s="25">
        <v>1211</v>
      </c>
      <c r="U48" s="25">
        <v>715.32866794394647</v>
      </c>
      <c r="V48" s="25">
        <v>1074</v>
      </c>
      <c r="W48" s="25">
        <v>1188.0124632138675</v>
      </c>
      <c r="X48" s="25">
        <v>1135.4340123571928</v>
      </c>
      <c r="Y48" s="25">
        <v>604.51495743320493</v>
      </c>
      <c r="Z48" s="25">
        <v>1002.3766853551615</v>
      </c>
      <c r="AA48" s="25">
        <v>1120.5979260393226</v>
      </c>
      <c r="AB48" s="25">
        <v>1186.0360253896108</v>
      </c>
      <c r="AC48" s="25">
        <v>931.62044726669956</v>
      </c>
      <c r="AD48" s="25">
        <v>937.26247630600551</v>
      </c>
      <c r="AE48" s="25">
        <v>1185.39815986183</v>
      </c>
      <c r="AF48" s="25">
        <v>713.17974191683015</v>
      </c>
      <c r="AG48" s="25">
        <v>343.09821429481127</v>
      </c>
      <c r="AH48" s="25">
        <v>512.9721762170193</v>
      </c>
      <c r="AI48" s="25">
        <v>1041.8325739005161</v>
      </c>
      <c r="AJ48" s="25">
        <v>989.03271813771471</v>
      </c>
      <c r="AK48" s="25">
        <v>520.66747253658468</v>
      </c>
    </row>
    <row r="49" spans="1:37" x14ac:dyDescent="0.35">
      <c r="A49" s="1">
        <v>14</v>
      </c>
      <c r="B49" s="5" t="s">
        <v>43</v>
      </c>
      <c r="C49" s="79">
        <f>+HLOOKUP($C$36,$H$36:$AO$51,A49,FALSE)</f>
        <v>185.6060478259773</v>
      </c>
      <c r="D49" s="79">
        <f>+HLOOKUP($D$36,$H$36:$BF$51,A49,FALSE)</f>
        <v>57.645095655213254</v>
      </c>
      <c r="E49" s="68">
        <f t="shared" si="29"/>
        <v>-0.68942232039086992</v>
      </c>
      <c r="H49" s="5" t="s">
        <v>43</v>
      </c>
      <c r="I49" s="34"/>
      <c r="J49" s="34"/>
      <c r="K49" s="34"/>
      <c r="L49" s="34"/>
      <c r="M49" s="34"/>
      <c r="N49" s="34"/>
      <c r="O49" s="34"/>
      <c r="P49" s="34"/>
      <c r="Q49" s="25">
        <v>117.26579863620114</v>
      </c>
      <c r="R49" s="25">
        <v>146.8918117608051</v>
      </c>
      <c r="S49" s="25">
        <v>46.406399015580696</v>
      </c>
      <c r="T49" s="30">
        <v>0</v>
      </c>
      <c r="U49" s="25">
        <v>92.800363549785231</v>
      </c>
      <c r="V49" s="30">
        <v>0</v>
      </c>
      <c r="W49" s="30">
        <v>0</v>
      </c>
      <c r="X49" s="30">
        <v>0</v>
      </c>
      <c r="Y49" s="30">
        <v>209.5338502374496</v>
      </c>
      <c r="Z49" s="30">
        <v>0</v>
      </c>
      <c r="AA49" s="30">
        <v>0</v>
      </c>
      <c r="AB49" s="30">
        <v>0</v>
      </c>
      <c r="AC49" s="30">
        <v>33.27100362594868</v>
      </c>
      <c r="AD49" s="30">
        <v>67.834889965652422</v>
      </c>
      <c r="AE49" s="30">
        <v>0</v>
      </c>
      <c r="AF49" s="30">
        <v>130.70588047518626</v>
      </c>
      <c r="AG49" s="30">
        <v>185.6060478259773</v>
      </c>
      <c r="AH49" s="30">
        <v>129.06447927047896</v>
      </c>
      <c r="AI49" s="30">
        <v>0</v>
      </c>
      <c r="AJ49" s="30">
        <v>14.5208717002192</v>
      </c>
      <c r="AK49" s="30">
        <v>57.645095655213254</v>
      </c>
    </row>
    <row r="50" spans="1:37" ht="6" customHeight="1" x14ac:dyDescent="0.35">
      <c r="A50" s="1">
        <v>15</v>
      </c>
      <c r="C50" s="26">
        <f>+HLOOKUP($C$36,$H$36:$AO$51,A50,FALSE)</f>
        <v>0</v>
      </c>
      <c r="D50" s="77">
        <f>+HLOOKUP($D$36,$H$36:$BF$51,A50,FALSE)</f>
        <v>0</v>
      </c>
      <c r="E50" s="60"/>
      <c r="I50" s="33"/>
      <c r="J50" s="33"/>
      <c r="K50" s="33"/>
      <c r="L50" s="33"/>
      <c r="M50" s="33"/>
      <c r="N50" s="33"/>
      <c r="O50" s="33"/>
      <c r="P50" s="33"/>
      <c r="Q50" s="26"/>
      <c r="R50" s="26"/>
      <c r="S50" s="26"/>
      <c r="T50" s="26"/>
      <c r="U50" s="26"/>
      <c r="V50" s="26"/>
      <c r="W50" s="26"/>
      <c r="X50" s="26"/>
      <c r="Y50" s="26"/>
      <c r="Z50" s="26"/>
      <c r="AA50" s="26"/>
      <c r="AB50" s="26">
        <v>0</v>
      </c>
      <c r="AC50" s="26"/>
      <c r="AD50" s="26"/>
      <c r="AE50" s="26"/>
      <c r="AF50" s="26"/>
      <c r="AG50" s="26"/>
      <c r="AH50" s="26"/>
      <c r="AI50" s="26"/>
      <c r="AJ50" s="26"/>
      <c r="AK50" s="26"/>
    </row>
    <row r="51" spans="1:37" x14ac:dyDescent="0.35">
      <c r="A51" s="1">
        <v>16</v>
      </c>
      <c r="B51" s="27" t="s">
        <v>45</v>
      </c>
      <c r="C51" s="27">
        <f>+HLOOKUP($C$36,$H$36:$AO$51,A51,FALSE)</f>
        <v>-185.6060478259773</v>
      </c>
      <c r="D51" s="81">
        <f>+HLOOKUP($D$36,$H$36:$BF$51,A51,FALSE)</f>
        <v>-6.1080999002123804</v>
      </c>
      <c r="E51" s="71" t="s">
        <v>44</v>
      </c>
      <c r="H51" s="20" t="s">
        <v>45</v>
      </c>
      <c r="I51" s="35"/>
      <c r="J51" s="35"/>
      <c r="K51" s="35"/>
      <c r="L51" s="35"/>
      <c r="M51" s="35"/>
      <c r="N51" s="35"/>
      <c r="O51" s="35"/>
      <c r="P51" s="35"/>
      <c r="Q51" s="27">
        <v>-117.26579863620114</v>
      </c>
      <c r="R51" s="27">
        <v>-75.559230127807126</v>
      </c>
      <c r="S51" s="27">
        <v>224.21087214801599</v>
      </c>
      <c r="T51" s="27">
        <v>483.0232191752059</v>
      </c>
      <c r="U51" s="27">
        <v>25.880405082426279</v>
      </c>
      <c r="V51" s="27">
        <v>336</v>
      </c>
      <c r="W51" s="27">
        <v>354.58010644829352</v>
      </c>
      <c r="X51" s="27">
        <v>355.58010644829398</v>
      </c>
      <c r="Y51" s="27">
        <v>-153.70788200688983</v>
      </c>
      <c r="Z51" s="27">
        <f t="shared" ref="Z51:AK51" si="30">Z42-Z49</f>
        <v>173.63322159405053</v>
      </c>
      <c r="AA51" s="27">
        <f t="shared" si="30"/>
        <v>371.0847186405806</v>
      </c>
      <c r="AB51" s="27">
        <f t="shared" si="30"/>
        <v>442.96485769998151</v>
      </c>
      <c r="AC51" s="27">
        <f t="shared" si="30"/>
        <v>155.92275581512291</v>
      </c>
      <c r="AD51" s="27">
        <f t="shared" si="30"/>
        <v>208.98762901664603</v>
      </c>
      <c r="AE51" s="27">
        <f t="shared" si="30"/>
        <v>430.10112776056849</v>
      </c>
      <c r="AF51" s="27">
        <f t="shared" si="30"/>
        <v>-38.521099921727057</v>
      </c>
      <c r="AG51" s="27">
        <f t="shared" si="30"/>
        <v>-185.6060478259773</v>
      </c>
      <c r="AH51" s="27">
        <f t="shared" si="30"/>
        <v>-4.7772691586120857</v>
      </c>
      <c r="AI51" s="27">
        <f t="shared" si="30"/>
        <v>342.35578502170983</v>
      </c>
      <c r="AJ51" s="27">
        <f t="shared" si="30"/>
        <v>265.34675050042307</v>
      </c>
      <c r="AK51" s="27">
        <f t="shared" si="30"/>
        <v>-6.1080999002123804</v>
      </c>
    </row>
    <row r="53" spans="1:37" x14ac:dyDescent="0.35">
      <c r="B53" s="1" t="s">
        <v>140</v>
      </c>
    </row>
  </sheetData>
  <mergeCells count="64">
    <mergeCell ref="AJ6:AJ7"/>
    <mergeCell ref="AJ36:AJ37"/>
    <mergeCell ref="AF6:AF7"/>
    <mergeCell ref="AF36:AF37"/>
    <mergeCell ref="AB6:AB7"/>
    <mergeCell ref="AB36:AB37"/>
    <mergeCell ref="AI6:AI7"/>
    <mergeCell ref="AI36:AI37"/>
    <mergeCell ref="AH6:AH7"/>
    <mergeCell ref="AH36:AH37"/>
    <mergeCell ref="AG6:AG7"/>
    <mergeCell ref="AG36:AG37"/>
    <mergeCell ref="Z6:Z7"/>
    <mergeCell ref="Z36:Z37"/>
    <mergeCell ref="AE6:AE7"/>
    <mergeCell ref="AE36:AE37"/>
    <mergeCell ref="AD6:AD7"/>
    <mergeCell ref="AD36:AD37"/>
    <mergeCell ref="AC6:AC7"/>
    <mergeCell ref="AC36:AC37"/>
    <mergeCell ref="AA6:AA7"/>
    <mergeCell ref="AA36:AA37"/>
    <mergeCell ref="Y6:Y7"/>
    <mergeCell ref="Y36:Y37"/>
    <mergeCell ref="V36:V37"/>
    <mergeCell ref="V6:V7"/>
    <mergeCell ref="W6:W7"/>
    <mergeCell ref="X6:X7"/>
    <mergeCell ref="X36:X37"/>
    <mergeCell ref="W36:W37"/>
    <mergeCell ref="K36:K37"/>
    <mergeCell ref="C6:C7"/>
    <mergeCell ref="D6:D7"/>
    <mergeCell ref="E6:E7"/>
    <mergeCell ref="I6:I7"/>
    <mergeCell ref="J6:J7"/>
    <mergeCell ref="C36:C37"/>
    <mergeCell ref="D36:D37"/>
    <mergeCell ref="E36:E37"/>
    <mergeCell ref="I36:I37"/>
    <mergeCell ref="J36:J37"/>
    <mergeCell ref="K6:K7"/>
    <mergeCell ref="T6:T7"/>
    <mergeCell ref="L6:L7"/>
    <mergeCell ref="M6:M7"/>
    <mergeCell ref="N6:N7"/>
    <mergeCell ref="O6:O7"/>
    <mergeCell ref="P6:P7"/>
    <mergeCell ref="AK6:AK7"/>
    <mergeCell ref="AK36:AK37"/>
    <mergeCell ref="L36:L37"/>
    <mergeCell ref="M36:M37"/>
    <mergeCell ref="N36:N37"/>
    <mergeCell ref="O36:O37"/>
    <mergeCell ref="P36:P37"/>
    <mergeCell ref="U6:U7"/>
    <mergeCell ref="Q6:Q7"/>
    <mergeCell ref="R6:R7"/>
    <mergeCell ref="S6:S7"/>
    <mergeCell ref="Q36:Q37"/>
    <mergeCell ref="R36:R37"/>
    <mergeCell ref="S36:S37"/>
    <mergeCell ref="T36:T37"/>
    <mergeCell ref="U36:U37"/>
  </mergeCells>
  <pageMargins left="0.7" right="0.7" top="0.75" bottom="0.75" header="0.3" footer="0.3"/>
  <pageSetup orientation="portrait" r:id="rId1"/>
  <ignoredErrors>
    <ignoredError sqref="I24 J24:AG24 AK24"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4:AA50"/>
  <sheetViews>
    <sheetView topLeftCell="B1" zoomScale="90" zoomScaleNormal="90" workbookViewId="0">
      <selection activeCell="Z5" sqref="Z5:Z47"/>
    </sheetView>
  </sheetViews>
  <sheetFormatPr baseColWidth="10" defaultColWidth="11.44140625" defaultRowHeight="14.4" x14ac:dyDescent="0.35"/>
  <cols>
    <col min="1" max="1" width="0" style="1" hidden="1" customWidth="1"/>
    <col min="2" max="2" width="57.33203125" style="1" customWidth="1"/>
    <col min="3" max="7" width="11.44140625" style="1"/>
    <col min="8" max="8" width="57.33203125" style="1" customWidth="1"/>
    <col min="9" max="24" width="11.44140625" style="1" customWidth="1"/>
    <col min="25" max="25" width="11.44140625" style="1"/>
    <col min="26" max="26" width="13.6640625" style="1" bestFit="1" customWidth="1"/>
    <col min="27" max="16384" width="11.44140625" style="1"/>
  </cols>
  <sheetData>
    <row r="4" spans="1:26" ht="23.4" x14ac:dyDescent="0.45">
      <c r="B4" s="12" t="s">
        <v>49</v>
      </c>
      <c r="C4" s="13"/>
      <c r="D4" s="13"/>
      <c r="E4" s="13"/>
      <c r="H4" s="12" t="s">
        <v>49</v>
      </c>
      <c r="I4" s="13"/>
      <c r="J4" s="13"/>
      <c r="K4" s="13"/>
      <c r="L4" s="13"/>
      <c r="M4" s="13"/>
      <c r="N4" s="13"/>
      <c r="O4" s="13"/>
      <c r="P4" s="13"/>
      <c r="Q4" s="13"/>
      <c r="R4" s="13"/>
      <c r="S4" s="13"/>
      <c r="T4" s="13"/>
      <c r="U4" s="13"/>
      <c r="V4" s="13"/>
      <c r="W4" s="13"/>
      <c r="X4" s="13"/>
      <c r="Y4" s="13"/>
    </row>
    <row r="5" spans="1:26" ht="8.25" customHeight="1" x14ac:dyDescent="0.35"/>
    <row r="6" spans="1:26" ht="15.75" customHeight="1" x14ac:dyDescent="0.35">
      <c r="A6" s="1">
        <v>1</v>
      </c>
      <c r="B6" s="3" t="s">
        <v>50</v>
      </c>
      <c r="C6" s="99" t="s">
        <v>128</v>
      </c>
      <c r="D6" s="99" t="s">
        <v>143</v>
      </c>
      <c r="E6" s="99" t="s">
        <v>4</v>
      </c>
      <c r="H6" s="3" t="s">
        <v>50</v>
      </c>
      <c r="I6" s="99" t="s">
        <v>18</v>
      </c>
      <c r="J6" s="99" t="s">
        <v>19</v>
      </c>
      <c r="K6" s="99" t="s">
        <v>20</v>
      </c>
      <c r="L6" s="99" t="s">
        <v>21</v>
      </c>
      <c r="M6" s="99" t="s">
        <v>22</v>
      </c>
      <c r="N6" s="99" t="s">
        <v>23</v>
      </c>
      <c r="O6" s="99" t="s">
        <v>24</v>
      </c>
      <c r="P6" s="99" t="s">
        <v>2</v>
      </c>
      <c r="Q6" s="99" t="s">
        <v>25</v>
      </c>
      <c r="R6" s="99" t="s">
        <v>51</v>
      </c>
      <c r="S6" s="101" t="s">
        <v>27</v>
      </c>
      <c r="T6" s="101" t="s">
        <v>3</v>
      </c>
      <c r="U6" s="99" t="s">
        <v>128</v>
      </c>
      <c r="V6" s="99" t="s">
        <v>130</v>
      </c>
      <c r="W6" s="99" t="s">
        <v>139</v>
      </c>
      <c r="X6" s="99" t="s">
        <v>141</v>
      </c>
      <c r="Y6" s="99" t="s">
        <v>143</v>
      </c>
    </row>
    <row r="7" spans="1:26" x14ac:dyDescent="0.35">
      <c r="A7" s="1">
        <v>2</v>
      </c>
      <c r="B7" s="3" t="s">
        <v>52</v>
      </c>
      <c r="C7" s="99"/>
      <c r="D7" s="99"/>
      <c r="E7" s="99"/>
      <c r="H7" s="3" t="s">
        <v>52</v>
      </c>
      <c r="I7" s="99"/>
      <c r="J7" s="99"/>
      <c r="K7" s="99"/>
      <c r="L7" s="99"/>
      <c r="M7" s="99"/>
      <c r="N7" s="99"/>
      <c r="O7" s="99"/>
      <c r="P7" s="99"/>
      <c r="Q7" s="99"/>
      <c r="R7" s="99"/>
      <c r="S7" s="101"/>
      <c r="T7" s="101"/>
      <c r="U7" s="99"/>
      <c r="V7" s="99"/>
      <c r="W7" s="99"/>
      <c r="X7" s="99"/>
      <c r="Y7" s="99"/>
    </row>
    <row r="8" spans="1:26" ht="6.75" customHeight="1" x14ac:dyDescent="0.35">
      <c r="A8" s="1">
        <v>3</v>
      </c>
    </row>
    <row r="9" spans="1:26" x14ac:dyDescent="0.35">
      <c r="A9" s="1">
        <v>4</v>
      </c>
      <c r="B9" s="2" t="s">
        <v>53</v>
      </c>
      <c r="C9" s="9">
        <f>+HLOOKUP($C$6,$H$6:$AQ$46,A9,FALSE)</f>
        <v>342.61029194000002</v>
      </c>
      <c r="D9" s="9">
        <f>+HLOOKUP($D$6,$H$6:$AQ$46,A9,FALSE)</f>
        <v>335.58527098945598</v>
      </c>
      <c r="E9" s="38">
        <f>D9/C9-1</f>
        <v>-2.050440723997371E-2</v>
      </c>
      <c r="H9" s="2" t="s">
        <v>53</v>
      </c>
      <c r="I9" s="9">
        <f t="shared" ref="I9:Y9" si="0">SUM(I10:I11)</f>
        <v>382.04352459</v>
      </c>
      <c r="J9" s="9">
        <f t="shared" si="0"/>
        <v>393.52543853000003</v>
      </c>
      <c r="K9" s="9">
        <f t="shared" si="0"/>
        <v>384.01442531999993</v>
      </c>
      <c r="L9" s="9">
        <f t="shared" si="0"/>
        <v>388.82864637</v>
      </c>
      <c r="M9" s="9">
        <f t="shared" si="0"/>
        <v>406.61819793000001</v>
      </c>
      <c r="N9" s="9">
        <f t="shared" si="0"/>
        <v>400.79995629000001</v>
      </c>
      <c r="O9" s="9">
        <f t="shared" si="0"/>
        <v>360.15103961</v>
      </c>
      <c r="P9" s="9">
        <f>+P10+P11</f>
        <v>385.69629868999999</v>
      </c>
      <c r="Q9" s="9">
        <f t="shared" si="0"/>
        <v>383.05666324999999</v>
      </c>
      <c r="R9" s="9">
        <f t="shared" si="0"/>
        <v>390.46938418000002</v>
      </c>
      <c r="S9" s="9">
        <f t="shared" si="0"/>
        <v>361.71204583999997</v>
      </c>
      <c r="T9" s="9">
        <f t="shared" si="0"/>
        <v>352.06973197216138</v>
      </c>
      <c r="U9" s="9">
        <f t="shared" si="0"/>
        <v>342.61029194000002</v>
      </c>
      <c r="V9" s="9">
        <f t="shared" si="0"/>
        <v>326.51433945999997</v>
      </c>
      <c r="W9" s="9">
        <f t="shared" si="0"/>
        <v>344.00239963000001</v>
      </c>
      <c r="X9" s="9">
        <f t="shared" si="0"/>
        <v>335.74076198907102</v>
      </c>
      <c r="Y9" s="9">
        <f t="shared" si="0"/>
        <v>335.58527098945598</v>
      </c>
      <c r="Z9" s="48"/>
    </row>
    <row r="10" spans="1:26" x14ac:dyDescent="0.35">
      <c r="A10" s="1">
        <v>5</v>
      </c>
      <c r="B10" s="4" t="s">
        <v>54</v>
      </c>
      <c r="C10" s="84">
        <f t="shared" ref="C10:C45" si="1">+HLOOKUP($C$6,$H$6:$AQ$46,A10,FALSE)</f>
        <v>336.26742267000003</v>
      </c>
      <c r="D10" s="84">
        <f t="shared" ref="D10:D46" si="2">+HLOOKUP($D$6,$H$6:$AQ$46,A10,FALSE)</f>
        <v>327.88627881999986</v>
      </c>
      <c r="E10" s="36">
        <f t="shared" ref="E10:E11" si="3">+D10/C10-1</f>
        <v>-2.4924043439750965E-2</v>
      </c>
      <c r="H10" s="4" t="s">
        <v>54</v>
      </c>
      <c r="I10" s="84">
        <v>375.70760791999999</v>
      </c>
      <c r="J10" s="84">
        <v>387.07254207000005</v>
      </c>
      <c r="K10" s="84">
        <v>377.56387881999996</v>
      </c>
      <c r="L10" s="84">
        <v>383.95966881999999</v>
      </c>
      <c r="M10" s="84">
        <v>399.36714494</v>
      </c>
      <c r="N10" s="84">
        <v>394.71491316000004</v>
      </c>
      <c r="O10" s="84">
        <f>360.15103961-O11</f>
        <v>353.20982264000003</v>
      </c>
      <c r="P10" s="84">
        <v>378.41628665000002</v>
      </c>
      <c r="Q10" s="84">
        <v>375.03835251999999</v>
      </c>
      <c r="R10" s="84">
        <v>381.06003191000002</v>
      </c>
      <c r="S10" s="84">
        <v>352.25140654999996</v>
      </c>
      <c r="T10" s="84">
        <v>340.84477436216139</v>
      </c>
      <c r="U10" s="84">
        <v>336.26742267000003</v>
      </c>
      <c r="V10" s="84">
        <v>318.16888381999996</v>
      </c>
      <c r="W10" s="84">
        <v>339.68414925000002</v>
      </c>
      <c r="X10" s="84">
        <v>329.10525194999997</v>
      </c>
      <c r="Y10" s="84">
        <v>327.88627881999986</v>
      </c>
    </row>
    <row r="11" spans="1:26" x14ac:dyDescent="0.35">
      <c r="A11" s="1">
        <v>6</v>
      </c>
      <c r="B11" s="5" t="s">
        <v>55</v>
      </c>
      <c r="C11" s="7">
        <f t="shared" si="1"/>
        <v>6.3428692699999996</v>
      </c>
      <c r="D11" s="7">
        <f t="shared" si="2"/>
        <v>7.698992169456119</v>
      </c>
      <c r="E11" s="36">
        <f t="shared" si="3"/>
        <v>0.21380275104678614</v>
      </c>
      <c r="H11" s="5" t="s">
        <v>55</v>
      </c>
      <c r="I11" s="7">
        <v>6.3359166699999987</v>
      </c>
      <c r="J11" s="7">
        <v>6.4528964599999998</v>
      </c>
      <c r="K11" s="7">
        <v>6.4505465000000006</v>
      </c>
      <c r="L11" s="7">
        <v>4.8689775500000003</v>
      </c>
      <c r="M11" s="7">
        <v>7.2510529899999989</v>
      </c>
      <c r="N11" s="7">
        <v>6.0850431299999999</v>
      </c>
      <c r="O11" s="7">
        <v>6.9412169699999984</v>
      </c>
      <c r="P11" s="7">
        <v>7.2800120399999999</v>
      </c>
      <c r="Q11" s="7">
        <v>8.0183107299999996</v>
      </c>
      <c r="R11" s="7">
        <v>9.4093522699999994</v>
      </c>
      <c r="S11" s="7">
        <v>9.4606392900000014</v>
      </c>
      <c r="T11" s="7">
        <v>11.224957609999999</v>
      </c>
      <c r="U11" s="7">
        <v>6.3428692699999996</v>
      </c>
      <c r="V11" s="7">
        <v>8.3454556400000008</v>
      </c>
      <c r="W11" s="7">
        <v>4.3182503800000003</v>
      </c>
      <c r="X11" s="7">
        <v>6.635510039071038</v>
      </c>
      <c r="Y11" s="7">
        <v>7.698992169456119</v>
      </c>
    </row>
    <row r="12" spans="1:26" ht="5.25" customHeight="1" x14ac:dyDescent="0.35">
      <c r="A12" s="1">
        <v>7</v>
      </c>
      <c r="E12" s="39"/>
    </row>
    <row r="13" spans="1:26" x14ac:dyDescent="0.35">
      <c r="A13" s="1">
        <v>8</v>
      </c>
      <c r="B13" s="6" t="s">
        <v>56</v>
      </c>
      <c r="C13" s="9">
        <f t="shared" si="1"/>
        <v>-149.12377948</v>
      </c>
      <c r="D13" s="9">
        <f t="shared" si="2"/>
        <v>-163.24753229999999</v>
      </c>
      <c r="E13" s="38">
        <f>D13/C13-1</f>
        <v>9.4711607157825783E-2</v>
      </c>
      <c r="H13" s="6" t="s">
        <v>56</v>
      </c>
      <c r="I13" s="9">
        <f t="shared" ref="I13:Y13" si="4">SUM(I14:I19)</f>
        <v>-201.61834733999999</v>
      </c>
      <c r="J13" s="9">
        <f t="shared" si="4"/>
        <v>-209.72360940999999</v>
      </c>
      <c r="K13" s="9">
        <f t="shared" si="4"/>
        <v>-182.83798649000002</v>
      </c>
      <c r="L13" s="9">
        <f t="shared" si="4"/>
        <v>-161.49980806000002</v>
      </c>
      <c r="M13" s="9">
        <f t="shared" si="4"/>
        <v>-214.61205498000001</v>
      </c>
      <c r="N13" s="9">
        <f t="shared" si="4"/>
        <v>-218.94480712000001</v>
      </c>
      <c r="O13" s="9">
        <f t="shared" si="4"/>
        <v>-176.48669952</v>
      </c>
      <c r="P13" s="9">
        <f t="shared" si="4"/>
        <v>-145.51666410999999</v>
      </c>
      <c r="Q13" s="9">
        <f t="shared" si="4"/>
        <v>-197.76414062000003</v>
      </c>
      <c r="R13" s="9">
        <f t="shared" si="4"/>
        <v>-191.37367252999999</v>
      </c>
      <c r="S13" s="9">
        <f t="shared" si="4"/>
        <v>-160.20363063999997</v>
      </c>
      <c r="T13" s="9">
        <f t="shared" si="4"/>
        <v>-142.64274646084766</v>
      </c>
      <c r="U13" s="9">
        <f t="shared" si="4"/>
        <v>-149.12377948</v>
      </c>
      <c r="V13" s="9">
        <f t="shared" si="4"/>
        <v>-150.30610163</v>
      </c>
      <c r="W13" s="9">
        <f t="shared" si="4"/>
        <v>-147.17815601999999</v>
      </c>
      <c r="X13" s="9">
        <f t="shared" si="4"/>
        <v>-129.18792688000002</v>
      </c>
      <c r="Y13" s="9">
        <f t="shared" si="4"/>
        <v>-163.24753229999999</v>
      </c>
    </row>
    <row r="14" spans="1:26" x14ac:dyDescent="0.35">
      <c r="A14" s="1">
        <v>9</v>
      </c>
      <c r="B14" s="5" t="s">
        <v>57</v>
      </c>
      <c r="C14" s="8">
        <f t="shared" si="1"/>
        <v>-21.550229389999998</v>
      </c>
      <c r="D14" s="8">
        <f t="shared" si="2"/>
        <v>-31.256106670000001</v>
      </c>
      <c r="E14" s="36">
        <f>+D14/C14-1</f>
        <v>0.45038394275765081</v>
      </c>
      <c r="H14" s="5" t="s">
        <v>57</v>
      </c>
      <c r="I14" s="8">
        <v>-49.663123439999993</v>
      </c>
      <c r="J14" s="8">
        <v>-45.028858790000001</v>
      </c>
      <c r="K14" s="8">
        <v>-48.471841370000007</v>
      </c>
      <c r="L14" s="8">
        <v>-50.922849980000002</v>
      </c>
      <c r="M14" s="8">
        <v>-49.971196500000005</v>
      </c>
      <c r="N14" s="8">
        <v>-42.72805692</v>
      </c>
      <c r="O14" s="8">
        <v>-27.189153449999999</v>
      </c>
      <c r="P14" s="8">
        <v>-32.179547069999998</v>
      </c>
      <c r="Q14" s="8">
        <v>-32.977775399999999</v>
      </c>
      <c r="R14" s="8">
        <v>-34.296792169999996</v>
      </c>
      <c r="S14" s="8">
        <v>-31.990598459999998</v>
      </c>
      <c r="T14" s="8">
        <v>-20.88005158</v>
      </c>
      <c r="U14" s="8">
        <v>-21.550229389999998</v>
      </c>
      <c r="V14" s="8">
        <v>-26.609996129999999</v>
      </c>
      <c r="W14" s="8">
        <v>-26.503041410000002</v>
      </c>
      <c r="X14" s="8">
        <v>-38.097026920000005</v>
      </c>
      <c r="Y14" s="8">
        <v>-31.256106670000001</v>
      </c>
    </row>
    <row r="15" spans="1:26" x14ac:dyDescent="0.35">
      <c r="A15" s="1">
        <v>10</v>
      </c>
      <c r="B15" s="5" t="s">
        <v>58</v>
      </c>
      <c r="C15" s="8">
        <f t="shared" si="1"/>
        <v>-15.50763813</v>
      </c>
      <c r="D15" s="8">
        <f t="shared" si="2"/>
        <v>-15.90505726</v>
      </c>
      <c r="E15" s="37">
        <f t="shared" ref="E15:E19" si="5">+D15/C15-1</f>
        <v>2.5627315176460108E-2</v>
      </c>
      <c r="H15" s="5" t="s">
        <v>58</v>
      </c>
      <c r="I15" s="8">
        <v>-10.309236590000001</v>
      </c>
      <c r="J15" s="8">
        <v>-8.1412438000000016</v>
      </c>
      <c r="K15" s="8">
        <v>-12.31748</v>
      </c>
      <c r="L15" s="8">
        <v>-15.235790230000001</v>
      </c>
      <c r="M15" s="8">
        <v>-14.031543289999998</v>
      </c>
      <c r="N15" s="8">
        <v>-8.2634073800000003</v>
      </c>
      <c r="O15" s="8">
        <v>-12.96105287</v>
      </c>
      <c r="P15" s="8">
        <v>-10.257073849999999</v>
      </c>
      <c r="Q15" s="8">
        <v>-2.7598666500000002</v>
      </c>
      <c r="R15" s="8">
        <v>-13.185026169999999</v>
      </c>
      <c r="S15" s="8">
        <v>-30.11858333</v>
      </c>
      <c r="T15" s="8">
        <v>-18.777421969999999</v>
      </c>
      <c r="U15" s="8">
        <v>-15.50763813</v>
      </c>
      <c r="V15" s="8">
        <v>-7.0497441700000003</v>
      </c>
      <c r="W15" s="8">
        <v>-8.8661044199999992</v>
      </c>
      <c r="X15" s="8">
        <v>-22.674804890000001</v>
      </c>
      <c r="Y15" s="8">
        <v>-15.90505726</v>
      </c>
    </row>
    <row r="16" spans="1:26" x14ac:dyDescent="0.35">
      <c r="A16" s="1">
        <v>11</v>
      </c>
      <c r="B16" s="5" t="s">
        <v>59</v>
      </c>
      <c r="C16" s="8">
        <f t="shared" si="1"/>
        <v>-68.507288939999995</v>
      </c>
      <c r="D16" s="8">
        <f t="shared" si="2"/>
        <v>-66.270926209999999</v>
      </c>
      <c r="E16" s="37">
        <f t="shared" si="5"/>
        <v>-3.2644157499191695E-2</v>
      </c>
      <c r="H16" s="5" t="s">
        <v>59</v>
      </c>
      <c r="I16" s="8">
        <v>-94.484040910000004</v>
      </c>
      <c r="J16" s="8">
        <v>-97.683044590000009</v>
      </c>
      <c r="K16" s="8">
        <v>-69.257545590000007</v>
      </c>
      <c r="L16" s="8">
        <v>-46.944186979999998</v>
      </c>
      <c r="M16" s="8">
        <v>-100.79955923</v>
      </c>
      <c r="N16" s="8">
        <v>-115.36363802999999</v>
      </c>
      <c r="O16" s="8">
        <v>-87.820830080000007</v>
      </c>
      <c r="P16" s="8">
        <v>-51.494247820000005</v>
      </c>
      <c r="Q16" s="8">
        <v>-107.34780074</v>
      </c>
      <c r="R16" s="8">
        <v>-95.379333989999992</v>
      </c>
      <c r="S16" s="8">
        <v>-70.417705769999998</v>
      </c>
      <c r="T16" s="8">
        <v>-64.138872550000002</v>
      </c>
      <c r="U16" s="8">
        <v>-68.507288939999995</v>
      </c>
      <c r="V16" s="8">
        <v>-69.673911410000002</v>
      </c>
      <c r="W16" s="8">
        <v>-75.506592269999999</v>
      </c>
      <c r="X16" s="8">
        <v>-31.725625049999998</v>
      </c>
      <c r="Y16" s="8">
        <v>-66.270926209999999</v>
      </c>
      <c r="Z16" s="55"/>
    </row>
    <row r="17" spans="1:27" x14ac:dyDescent="0.35">
      <c r="A17" s="1">
        <v>12</v>
      </c>
      <c r="B17" s="5" t="s">
        <v>60</v>
      </c>
      <c r="C17" s="8">
        <f t="shared" si="1"/>
        <v>-4.2986809299999997</v>
      </c>
      <c r="D17" s="8">
        <f t="shared" si="2"/>
        <v>-16.706890779999998</v>
      </c>
      <c r="E17" s="37">
        <f t="shared" si="5"/>
        <v>2.8865156665628589</v>
      </c>
      <c r="H17" s="5" t="s">
        <v>60</v>
      </c>
      <c r="I17" s="8">
        <v>-6.969882909999999</v>
      </c>
      <c r="J17" s="8">
        <v>-16.593912970000002</v>
      </c>
      <c r="K17" s="8">
        <v>-4.990396689999999</v>
      </c>
      <c r="L17" s="8">
        <v>-2.59113864</v>
      </c>
      <c r="M17" s="8">
        <v>-3.0085850299999999</v>
      </c>
      <c r="N17" s="8">
        <v>-4.8410693299999998</v>
      </c>
      <c r="O17" s="8">
        <v>-4.997354979999999</v>
      </c>
      <c r="P17" s="8">
        <v>-3.5823068500000002</v>
      </c>
      <c r="Q17" s="8">
        <v>-9.144735380000002</v>
      </c>
      <c r="R17" s="8">
        <v>-2.1464366200000002</v>
      </c>
      <c r="S17" s="8">
        <v>-0.41594635999999996</v>
      </c>
      <c r="T17" s="8">
        <v>-0.97457678084765598</v>
      </c>
      <c r="U17" s="8">
        <v>-4.2986809299999997</v>
      </c>
      <c r="V17" s="8">
        <v>-2.9431910800000001</v>
      </c>
      <c r="W17" s="8">
        <v>-0.41815340000000006</v>
      </c>
      <c r="X17" s="8">
        <v>-1.86275127</v>
      </c>
      <c r="Y17" s="8">
        <v>-16.706890779999998</v>
      </c>
    </row>
    <row r="18" spans="1:27" x14ac:dyDescent="0.35">
      <c r="A18" s="1">
        <v>13</v>
      </c>
      <c r="B18" s="5" t="s">
        <v>61</v>
      </c>
      <c r="C18" s="8">
        <f t="shared" si="1"/>
        <v>-20.795866490000002</v>
      </c>
      <c r="D18" s="8">
        <f t="shared" si="2"/>
        <v>-21.106550949999999</v>
      </c>
      <c r="E18" s="37">
        <f t="shared" si="5"/>
        <v>1.4939721802378125E-2</v>
      </c>
      <c r="H18" s="5" t="s">
        <v>61</v>
      </c>
      <c r="I18" s="8">
        <v>-18.267814120000004</v>
      </c>
      <c r="J18" s="8">
        <v>-19.587985530000005</v>
      </c>
      <c r="K18" s="8">
        <v>-21.775002570000002</v>
      </c>
      <c r="L18" s="8">
        <v>-14.182322660000001</v>
      </c>
      <c r="M18" s="8">
        <v>-22.118387720000001</v>
      </c>
      <c r="N18" s="8">
        <v>-22.376940360000003</v>
      </c>
      <c r="O18" s="8">
        <v>-23.068639080000001</v>
      </c>
      <c r="P18" s="8">
        <v>-19.234630080000002</v>
      </c>
      <c r="Q18" s="8">
        <v>-25.951997500000001</v>
      </c>
      <c r="R18" s="8">
        <v>-25.329593030000002</v>
      </c>
      <c r="S18" s="8">
        <v>-7.9583244999999989</v>
      </c>
      <c r="T18" s="8">
        <v>-14.40621734</v>
      </c>
      <c r="U18" s="8">
        <v>-20.795866490000002</v>
      </c>
      <c r="V18" s="8">
        <v>-21.183902500000002</v>
      </c>
      <c r="W18" s="8">
        <v>-17.545652830000002</v>
      </c>
      <c r="X18" s="8">
        <v>-10.825311670000003</v>
      </c>
      <c r="Y18" s="8">
        <v>-21.106550949999999</v>
      </c>
    </row>
    <row r="19" spans="1:27" x14ac:dyDescent="0.35">
      <c r="A19" s="1">
        <v>14</v>
      </c>
      <c r="B19" s="5" t="s">
        <v>62</v>
      </c>
      <c r="C19" s="8">
        <f t="shared" si="1"/>
        <v>-18.464075600000001</v>
      </c>
      <c r="D19" s="8">
        <f t="shared" si="2"/>
        <v>-12.002000430000004</v>
      </c>
      <c r="E19" s="37">
        <f t="shared" si="5"/>
        <v>-0.34998097440632214</v>
      </c>
      <c r="H19" s="5" t="s">
        <v>62</v>
      </c>
      <c r="I19" s="8">
        <v>-21.924249370000002</v>
      </c>
      <c r="J19" s="8">
        <v>-22.688563729999998</v>
      </c>
      <c r="K19" s="8">
        <v>-26.025720270000001</v>
      </c>
      <c r="L19" s="8">
        <v>-31.623519569999999</v>
      </c>
      <c r="M19" s="8">
        <v>-24.68278321</v>
      </c>
      <c r="N19" s="8">
        <v>-25.371695099999997</v>
      </c>
      <c r="O19" s="8">
        <v>-20.449669059999998</v>
      </c>
      <c r="P19" s="8">
        <v>-28.768858439999995</v>
      </c>
      <c r="Q19" s="8">
        <v>-19.58196495</v>
      </c>
      <c r="R19" s="8">
        <v>-21.036490550000003</v>
      </c>
      <c r="S19" s="8">
        <v>-19.302472219999999</v>
      </c>
      <c r="T19" s="8">
        <v>-23.46560624</v>
      </c>
      <c r="U19" s="8">
        <v>-18.464075600000001</v>
      </c>
      <c r="V19" s="8">
        <v>-22.845356340000002</v>
      </c>
      <c r="W19" s="8">
        <v>-18.33861169</v>
      </c>
      <c r="X19" s="8">
        <v>-24.002407080000005</v>
      </c>
      <c r="Y19" s="8">
        <v>-12.002000430000004</v>
      </c>
    </row>
    <row r="20" spans="1:27" ht="5.25" customHeight="1" x14ac:dyDescent="0.35">
      <c r="A20" s="1">
        <v>15</v>
      </c>
      <c r="E20" s="39"/>
    </row>
    <row r="21" spans="1:27" x14ac:dyDescent="0.35">
      <c r="A21" s="1">
        <v>16</v>
      </c>
      <c r="B21" s="6" t="s">
        <v>63</v>
      </c>
      <c r="C21" s="9">
        <f t="shared" si="1"/>
        <v>193.48651246000003</v>
      </c>
      <c r="D21" s="9">
        <f t="shared" si="2"/>
        <v>172.33773868945599</v>
      </c>
      <c r="E21" s="38">
        <f>D21/C21-1</f>
        <v>-0.10930360727296784</v>
      </c>
      <c r="H21" s="6" t="s">
        <v>63</v>
      </c>
      <c r="I21" s="9">
        <f t="shared" ref="I21:Y21" si="6">I9+I13</f>
        <v>180.42517725000002</v>
      </c>
      <c r="J21" s="9">
        <f t="shared" si="6"/>
        <v>183.80182912000004</v>
      </c>
      <c r="K21" s="9">
        <f t="shared" si="6"/>
        <v>201.17643882999991</v>
      </c>
      <c r="L21" s="9">
        <f t="shared" si="6"/>
        <v>227.32883830999998</v>
      </c>
      <c r="M21" s="9">
        <f t="shared" si="6"/>
        <v>192.00614295</v>
      </c>
      <c r="N21" s="9">
        <f t="shared" si="6"/>
        <v>181.85514917</v>
      </c>
      <c r="O21" s="9">
        <f t="shared" si="6"/>
        <v>183.66434009</v>
      </c>
      <c r="P21" s="9">
        <f t="shared" si="6"/>
        <v>240.17963458</v>
      </c>
      <c r="Q21" s="9">
        <f t="shared" si="6"/>
        <v>185.29252262999995</v>
      </c>
      <c r="R21" s="9">
        <f t="shared" si="6"/>
        <v>199.09571165000003</v>
      </c>
      <c r="S21" s="9">
        <f t="shared" si="6"/>
        <v>201.5084152</v>
      </c>
      <c r="T21" s="9">
        <f t="shared" si="6"/>
        <v>209.42698551131372</v>
      </c>
      <c r="U21" s="9">
        <f t="shared" si="6"/>
        <v>193.48651246000003</v>
      </c>
      <c r="V21" s="9">
        <f t="shared" si="6"/>
        <v>176.20823782999997</v>
      </c>
      <c r="W21" s="9">
        <f t="shared" si="6"/>
        <v>196.82424361000002</v>
      </c>
      <c r="X21" s="9">
        <f t="shared" si="6"/>
        <v>206.552835109071</v>
      </c>
      <c r="Y21" s="9">
        <f t="shared" si="6"/>
        <v>172.33773868945599</v>
      </c>
    </row>
    <row r="22" spans="1:27" ht="5.25" customHeight="1" x14ac:dyDescent="0.35">
      <c r="A22" s="1">
        <v>17</v>
      </c>
      <c r="D22" s="1">
        <f t="shared" si="2"/>
        <v>0</v>
      </c>
      <c r="E22" s="39"/>
    </row>
    <row r="23" spans="1:27" x14ac:dyDescent="0.35">
      <c r="A23" s="1">
        <v>18</v>
      </c>
      <c r="B23" s="5" t="s">
        <v>64</v>
      </c>
      <c r="C23" s="8">
        <f t="shared" si="1"/>
        <v>-15.103110769999997</v>
      </c>
      <c r="D23" s="8">
        <f t="shared" si="2"/>
        <v>-21.26849432578625</v>
      </c>
      <c r="E23" s="36">
        <f>+D23/C23-1</f>
        <v>0.40821944893848205</v>
      </c>
      <c r="H23" s="5" t="s">
        <v>64</v>
      </c>
      <c r="I23" s="8">
        <v>-17.04451195</v>
      </c>
      <c r="J23" s="8">
        <v>-17.660246110000003</v>
      </c>
      <c r="K23" s="8">
        <v>-19.13792746</v>
      </c>
      <c r="L23" s="8">
        <v>-22.942345899999999</v>
      </c>
      <c r="M23" s="8">
        <v>-20.83305013</v>
      </c>
      <c r="N23" s="8">
        <v>-19.99287172</v>
      </c>
      <c r="O23" s="8">
        <v>-19.41948554</v>
      </c>
      <c r="P23" s="8">
        <v>-19.52008206</v>
      </c>
      <c r="Q23" s="8">
        <v>-18.145634449999999</v>
      </c>
      <c r="R23" s="8">
        <v>-18.69958454</v>
      </c>
      <c r="S23" s="8">
        <v>-18.131862460000001</v>
      </c>
      <c r="T23" s="8">
        <v>-19.374417829999999</v>
      </c>
      <c r="U23" s="8">
        <v>-15.103110769999997</v>
      </c>
      <c r="V23" s="8">
        <v>-15.963176069999999</v>
      </c>
      <c r="W23" s="8">
        <v>-16.546217549999998</v>
      </c>
      <c r="X23" s="8">
        <v>-17.744413205142642</v>
      </c>
      <c r="Y23" s="8">
        <v>-21.26849432578625</v>
      </c>
    </row>
    <row r="24" spans="1:27" x14ac:dyDescent="0.35">
      <c r="A24" s="1">
        <v>19</v>
      </c>
      <c r="B24" s="5" t="s">
        <v>65</v>
      </c>
      <c r="C24" s="8">
        <f t="shared" si="1"/>
        <v>-6.03616536</v>
      </c>
      <c r="D24" s="8">
        <f t="shared" si="2"/>
        <v>-13.714933041244359</v>
      </c>
      <c r="E24" s="36">
        <f>+D24/C24-1</f>
        <v>1.2721267929685012</v>
      </c>
      <c r="H24" s="5" t="s">
        <v>65</v>
      </c>
      <c r="I24" s="8">
        <v>-8.5792266599999998</v>
      </c>
      <c r="J24" s="8">
        <v>-7.6647555899999995</v>
      </c>
      <c r="K24" s="8">
        <v>-8.0141252200000004</v>
      </c>
      <c r="L24" s="8">
        <v>0.44080515999999959</v>
      </c>
      <c r="M24" s="8">
        <v>-7.5951097599999997</v>
      </c>
      <c r="N24" s="8">
        <v>-7.8615174199999984</v>
      </c>
      <c r="O24" s="8">
        <v>-7.9049100199999991</v>
      </c>
      <c r="P24" s="8">
        <v>-10.4942574</v>
      </c>
      <c r="Q24" s="8">
        <v>-5.5704710899999998</v>
      </c>
      <c r="R24" s="8">
        <v>-6.6276518099999997</v>
      </c>
      <c r="S24" s="8">
        <v>-4.66054455</v>
      </c>
      <c r="T24" s="8">
        <v>-7.1157827199999995</v>
      </c>
      <c r="U24" s="8">
        <v>-6.03616536</v>
      </c>
      <c r="V24" s="8">
        <v>-4.9806314399999998</v>
      </c>
      <c r="W24" s="8">
        <v>-5.2920033700000007</v>
      </c>
      <c r="X24" s="8">
        <v>-8.8666230960603514</v>
      </c>
      <c r="Y24" s="8">
        <v>-13.714933041244359</v>
      </c>
    </row>
    <row r="25" spans="1:27" x14ac:dyDescent="0.35">
      <c r="A25" s="1">
        <v>20</v>
      </c>
      <c r="B25" s="5" t="s">
        <v>66</v>
      </c>
      <c r="C25" s="8">
        <f t="shared" si="1"/>
        <v>-60.573092729999999</v>
      </c>
      <c r="D25" s="8">
        <f t="shared" si="2"/>
        <v>-55.426093312953405</v>
      </c>
      <c r="E25" s="36">
        <f t="shared" ref="E25" si="7">+D25/C25-1</f>
        <v>-8.4971712439861014E-2</v>
      </c>
      <c r="H25" s="5" t="s">
        <v>66</v>
      </c>
      <c r="I25" s="8">
        <v>-59.572974270000003</v>
      </c>
      <c r="J25" s="8">
        <v>-60.371400770000001</v>
      </c>
      <c r="K25" s="8">
        <v>-59.531198900000007</v>
      </c>
      <c r="L25" s="8">
        <v>-44.012021590000003</v>
      </c>
      <c r="M25" s="8">
        <v>-58.61902585</v>
      </c>
      <c r="N25" s="8">
        <v>-58.823031590000006</v>
      </c>
      <c r="O25" s="8">
        <v>-59.493490899999998</v>
      </c>
      <c r="P25" s="8">
        <v>-60.019039800000002</v>
      </c>
      <c r="Q25" s="8">
        <v>-60.018540229999999</v>
      </c>
      <c r="R25" s="8">
        <v>-65.973431809999994</v>
      </c>
      <c r="S25" s="8">
        <v>-63.853536640000002</v>
      </c>
      <c r="T25" s="8">
        <v>-60.676873370000003</v>
      </c>
      <c r="U25" s="8">
        <v>-60.573092729999999</v>
      </c>
      <c r="V25" s="8">
        <v>-60.983484619999999</v>
      </c>
      <c r="W25" s="8">
        <v>-62.102695539999999</v>
      </c>
      <c r="X25" s="8">
        <v>-62.955401839999993</v>
      </c>
      <c r="Y25" s="8">
        <v>-55.426093312953405</v>
      </c>
    </row>
    <row r="26" spans="1:27" ht="5.25" customHeight="1" x14ac:dyDescent="0.35">
      <c r="A26" s="1">
        <v>21</v>
      </c>
      <c r="E26" s="39"/>
    </row>
    <row r="27" spans="1:27" x14ac:dyDescent="0.35">
      <c r="A27" s="1">
        <v>22</v>
      </c>
      <c r="B27" s="6" t="s">
        <v>67</v>
      </c>
      <c r="C27" s="9">
        <f t="shared" si="1"/>
        <v>111.77414360000003</v>
      </c>
      <c r="D27" s="9">
        <f t="shared" si="2"/>
        <v>81.928218009471976</v>
      </c>
      <c r="E27" s="38">
        <f>D27/C27-1</f>
        <v>-0.26701994423089492</v>
      </c>
      <c r="H27" s="6" t="s">
        <v>67</v>
      </c>
      <c r="I27" s="9">
        <f t="shared" ref="I27:Y27" si="8">I25+I24+I23+I21</f>
        <v>95.228464370000012</v>
      </c>
      <c r="J27" s="9">
        <f t="shared" si="8"/>
        <v>98.105426650000027</v>
      </c>
      <c r="K27" s="9">
        <f t="shared" si="8"/>
        <v>114.49318724999991</v>
      </c>
      <c r="L27" s="9">
        <f t="shared" si="8"/>
        <v>160.81527597999997</v>
      </c>
      <c r="M27" s="9">
        <f t="shared" si="8"/>
        <v>104.95895720999999</v>
      </c>
      <c r="N27" s="9">
        <f t="shared" si="8"/>
        <v>95.177728439999996</v>
      </c>
      <c r="O27" s="9">
        <f t="shared" si="8"/>
        <v>96.846453629999999</v>
      </c>
      <c r="P27" s="9">
        <f t="shared" si="8"/>
        <v>150.14625531999999</v>
      </c>
      <c r="Q27" s="9">
        <f t="shared" si="8"/>
        <v>101.55787685999995</v>
      </c>
      <c r="R27" s="9">
        <f t="shared" si="8"/>
        <v>107.79504349000003</v>
      </c>
      <c r="S27" s="9">
        <f t="shared" si="8"/>
        <v>114.86247155000001</v>
      </c>
      <c r="T27" s="9">
        <f t="shared" si="8"/>
        <v>122.25991159131371</v>
      </c>
      <c r="U27" s="9">
        <f t="shared" si="8"/>
        <v>111.77414360000003</v>
      </c>
      <c r="V27" s="9">
        <f t="shared" si="8"/>
        <v>94.280945699999975</v>
      </c>
      <c r="W27" s="9">
        <f t="shared" si="8"/>
        <v>112.88332715000003</v>
      </c>
      <c r="X27" s="9">
        <f t="shared" si="8"/>
        <v>116.98639696786802</v>
      </c>
      <c r="Y27" s="9">
        <f t="shared" si="8"/>
        <v>81.928218009471976</v>
      </c>
    </row>
    <row r="28" spans="1:27" ht="5.25" customHeight="1" x14ac:dyDescent="0.35">
      <c r="A28" s="1">
        <v>23</v>
      </c>
      <c r="C28" s="1">
        <f t="shared" si="1"/>
        <v>0</v>
      </c>
      <c r="D28" s="48">
        <f t="shared" si="2"/>
        <v>0</v>
      </c>
      <c r="E28" s="39"/>
      <c r="I28" s="48"/>
      <c r="K28" s="48"/>
      <c r="M28" s="48"/>
      <c r="O28" s="48"/>
      <c r="Q28" s="48"/>
      <c r="R28" s="48"/>
      <c r="S28" s="48"/>
      <c r="T28" s="48"/>
      <c r="U28" s="48"/>
      <c r="V28" s="48"/>
      <c r="W28" s="48"/>
      <c r="X28" s="48"/>
      <c r="Y28" s="48"/>
    </row>
    <row r="29" spans="1:27" x14ac:dyDescent="0.35">
      <c r="A29" s="1">
        <v>24</v>
      </c>
      <c r="B29" s="6" t="s">
        <v>68</v>
      </c>
      <c r="C29" s="9">
        <f t="shared" si="1"/>
        <v>172.34723633000002</v>
      </c>
      <c r="D29" s="9">
        <f>+HLOOKUP($D$6,$H$6:$AQ$46,A29,FALSE)</f>
        <v>137.35431132242536</v>
      </c>
      <c r="E29" s="38">
        <f>D29/C29-1</f>
        <v>-0.20303734340463886</v>
      </c>
      <c r="H29" s="6" t="s">
        <v>68</v>
      </c>
      <c r="I29" s="9">
        <f>+I21+I23+I24</f>
        <v>154.80143864000004</v>
      </c>
      <c r="J29" s="9">
        <f>+J21+J23+J24</f>
        <v>158.47682742000003</v>
      </c>
      <c r="K29" s="9">
        <f>+K21+K23+K24</f>
        <v>174.02438614999991</v>
      </c>
      <c r="L29" s="9">
        <f t="shared" ref="L29:Y29" si="9">+L21+L23+L24</f>
        <v>204.82729756999998</v>
      </c>
      <c r="M29" s="9">
        <f t="shared" si="9"/>
        <v>163.57798306000001</v>
      </c>
      <c r="N29" s="9">
        <f t="shared" si="9"/>
        <v>154.00076002999998</v>
      </c>
      <c r="O29" s="9">
        <f t="shared" si="9"/>
        <v>156.33994453</v>
      </c>
      <c r="P29" s="9">
        <f t="shared" si="9"/>
        <v>210.16529512</v>
      </c>
      <c r="Q29" s="9">
        <f t="shared" si="9"/>
        <v>161.57641708999995</v>
      </c>
      <c r="R29" s="9">
        <f t="shared" si="9"/>
        <v>173.76847530000003</v>
      </c>
      <c r="S29" s="9">
        <f t="shared" si="9"/>
        <v>178.71600819</v>
      </c>
      <c r="T29" s="9">
        <f t="shared" si="9"/>
        <v>182.93678496131372</v>
      </c>
      <c r="U29" s="9">
        <f t="shared" si="9"/>
        <v>172.34723633000002</v>
      </c>
      <c r="V29" s="9">
        <f t="shared" si="9"/>
        <v>155.26443031999997</v>
      </c>
      <c r="W29" s="9">
        <f t="shared" si="9"/>
        <v>174.98602269000003</v>
      </c>
      <c r="X29" s="9">
        <f t="shared" si="9"/>
        <v>179.941798807868</v>
      </c>
      <c r="Y29" s="9">
        <f t="shared" si="9"/>
        <v>137.35431132242536</v>
      </c>
      <c r="Z29" s="54"/>
      <c r="AA29" s="94"/>
    </row>
    <row r="30" spans="1:27" ht="5.25" customHeight="1" x14ac:dyDescent="0.35">
      <c r="A30" s="1">
        <v>25</v>
      </c>
      <c r="E30" s="39"/>
    </row>
    <row r="31" spans="1:27" x14ac:dyDescent="0.35">
      <c r="A31" s="1">
        <v>26</v>
      </c>
      <c r="B31" s="5" t="s">
        <v>69</v>
      </c>
      <c r="C31" s="8">
        <f t="shared" si="1"/>
        <v>5.0345027899999995</v>
      </c>
      <c r="D31" s="8">
        <f t="shared" si="2"/>
        <v>1.2911820900000002</v>
      </c>
      <c r="E31" s="36">
        <f>+D31/C31-1</f>
        <v>-0.74353334502770219</v>
      </c>
      <c r="F31" s="33"/>
      <c r="G31" s="33"/>
      <c r="H31" s="5" t="s">
        <v>69</v>
      </c>
      <c r="I31" s="8">
        <v>2.5236214500000003</v>
      </c>
      <c r="J31" s="8">
        <v>2.7823693500000002</v>
      </c>
      <c r="K31" s="8">
        <v>3.1789319899999997</v>
      </c>
      <c r="L31" s="8">
        <v>4.2409520899999995</v>
      </c>
      <c r="M31" s="8">
        <v>4.85621904</v>
      </c>
      <c r="N31" s="8">
        <v>4.4943058100000002</v>
      </c>
      <c r="O31" s="8">
        <v>5.0033533800000001</v>
      </c>
      <c r="P31" s="8">
        <v>6.0128980599999995</v>
      </c>
      <c r="Q31" s="8">
        <v>6.3841863300000004</v>
      </c>
      <c r="R31" s="8">
        <v>4.8958357699999997</v>
      </c>
      <c r="S31" s="8">
        <v>4.9172992500000001</v>
      </c>
      <c r="T31" s="8">
        <v>5.9181313199999996</v>
      </c>
      <c r="U31" s="8">
        <v>5.0345027899999995</v>
      </c>
      <c r="V31" s="8">
        <v>2.9650799699999997</v>
      </c>
      <c r="W31" s="8">
        <v>1.7723986199999999</v>
      </c>
      <c r="X31" s="8">
        <v>1.4703000900000001</v>
      </c>
      <c r="Y31" s="8">
        <v>1.2911820900000002</v>
      </c>
      <c r="Z31" s="33"/>
      <c r="AA31" s="33"/>
    </row>
    <row r="32" spans="1:27" x14ac:dyDescent="0.35">
      <c r="A32" s="1">
        <v>27</v>
      </c>
      <c r="B32" s="5" t="s">
        <v>70</v>
      </c>
      <c r="C32" s="8">
        <f t="shared" si="1"/>
        <v>-22.52007699</v>
      </c>
      <c r="D32" s="8">
        <f t="shared" si="2"/>
        <v>-22.189419768481009</v>
      </c>
      <c r="E32" s="36">
        <f t="shared" ref="E32:E35" si="10">+D32/C32-1</f>
        <v>-1.4682774915281915E-2</v>
      </c>
      <c r="F32" s="33"/>
      <c r="G32" s="33"/>
      <c r="H32" s="5" t="s">
        <v>70</v>
      </c>
      <c r="I32" s="8">
        <v>-20.230824169999998</v>
      </c>
      <c r="J32" s="8">
        <v>-20.18796966</v>
      </c>
      <c r="K32" s="8">
        <v>-21.837985680000003</v>
      </c>
      <c r="L32" s="8">
        <v>-22.69717919</v>
      </c>
      <c r="M32" s="8">
        <v>-21.131099630000001</v>
      </c>
      <c r="N32" s="8">
        <v>-21.067198480000002</v>
      </c>
      <c r="O32" s="8">
        <v>-20.895725410000001</v>
      </c>
      <c r="P32" s="8">
        <v>-20.77659963</v>
      </c>
      <c r="Q32" s="8">
        <v>-20.671587080000002</v>
      </c>
      <c r="R32" s="8">
        <v>-24.948332670000003</v>
      </c>
      <c r="S32" s="8">
        <v>-22.90039531</v>
      </c>
      <c r="T32" s="8">
        <v>-22.548721329999999</v>
      </c>
      <c r="U32" s="8">
        <v>-22.52007699</v>
      </c>
      <c r="V32" s="8">
        <v>-22.69825814</v>
      </c>
      <c r="W32" s="8">
        <v>-22.93371934</v>
      </c>
      <c r="X32" s="8">
        <v>-22.307162131803203</v>
      </c>
      <c r="Y32" s="8">
        <v>-22.189419768481009</v>
      </c>
      <c r="Z32" s="33"/>
      <c r="AA32" s="33"/>
    </row>
    <row r="33" spans="1:27" x14ac:dyDescent="0.35">
      <c r="A33" s="1">
        <v>28</v>
      </c>
      <c r="B33" s="5" t="s">
        <v>71</v>
      </c>
      <c r="C33" s="8">
        <f t="shared" si="1"/>
        <v>-4.8135680699999979</v>
      </c>
      <c r="D33" s="8">
        <f t="shared" si="2"/>
        <v>-2.8008947524970997</v>
      </c>
      <c r="E33" s="82" t="s">
        <v>44</v>
      </c>
      <c r="F33" s="33"/>
      <c r="G33" s="33"/>
      <c r="H33" s="5" t="s">
        <v>71</v>
      </c>
      <c r="I33" s="8">
        <v>0.55841687000000062</v>
      </c>
      <c r="J33" s="8">
        <v>0.81643913000000035</v>
      </c>
      <c r="K33" s="8">
        <v>2.7404837300000033</v>
      </c>
      <c r="L33" s="8">
        <v>4.0539890799999991</v>
      </c>
      <c r="M33" s="8">
        <v>-1.1133358300000005</v>
      </c>
      <c r="N33" s="8">
        <v>-6.8534151000000021</v>
      </c>
      <c r="O33" s="8">
        <v>-1.6043168900000007</v>
      </c>
      <c r="P33" s="8">
        <v>-3.0702768400000044</v>
      </c>
      <c r="Q33" s="8">
        <v>1.2623363700000001</v>
      </c>
      <c r="R33" s="8">
        <v>0.85936775000000187</v>
      </c>
      <c r="S33" s="8">
        <v>-7.7517798999999989</v>
      </c>
      <c r="T33" s="8">
        <v>-1.5457248899999978</v>
      </c>
      <c r="U33" s="8">
        <v>-4.8135680699999979</v>
      </c>
      <c r="V33" s="8">
        <v>4.9067024800000008</v>
      </c>
      <c r="W33" s="8">
        <v>2.1286611099999933</v>
      </c>
      <c r="X33" s="8">
        <v>3.48765462486777</v>
      </c>
      <c r="Y33" s="8">
        <v>-2.8008947524970997</v>
      </c>
      <c r="Z33" s="33"/>
      <c r="AA33" s="33"/>
    </row>
    <row r="34" spans="1:27" x14ac:dyDescent="0.35">
      <c r="A34" s="1">
        <v>29</v>
      </c>
      <c r="B34" s="5" t="s">
        <v>72</v>
      </c>
      <c r="C34" s="8">
        <f t="shared" si="1"/>
        <v>2.3433842899999999</v>
      </c>
      <c r="D34" s="8">
        <f t="shared" si="2"/>
        <v>1.37134892</v>
      </c>
      <c r="E34" s="36">
        <f t="shared" si="10"/>
        <v>-0.41479981501454888</v>
      </c>
      <c r="F34" s="33"/>
      <c r="G34" s="33"/>
      <c r="H34" s="5" t="s">
        <v>72</v>
      </c>
      <c r="I34" s="8">
        <v>0.73980449999999998</v>
      </c>
      <c r="J34" s="8">
        <v>1.1078972599999999</v>
      </c>
      <c r="K34" s="8">
        <v>1.2924579299999999</v>
      </c>
      <c r="L34" s="8">
        <v>-0.23659015999999999</v>
      </c>
      <c r="M34" s="8">
        <v>4.6503776200000004</v>
      </c>
      <c r="N34" s="8">
        <v>2.09918505</v>
      </c>
      <c r="O34" s="8">
        <v>2.82230545</v>
      </c>
      <c r="P34" s="8">
        <v>1.8170467399999999</v>
      </c>
      <c r="Q34" s="8">
        <v>2.3436588</v>
      </c>
      <c r="R34" s="8">
        <v>2.5646927799999997</v>
      </c>
      <c r="S34" s="8">
        <v>2.1804517300000001</v>
      </c>
      <c r="T34" s="8">
        <v>2.0129498799999999</v>
      </c>
      <c r="U34" s="8">
        <v>2.3433842899999999</v>
      </c>
      <c r="V34" s="8">
        <v>2.14213787</v>
      </c>
      <c r="W34" s="8">
        <v>2.18435165</v>
      </c>
      <c r="X34" s="8">
        <v>3.2800220100000002</v>
      </c>
      <c r="Y34" s="8">
        <v>1.37134892</v>
      </c>
      <c r="Z34" s="33"/>
      <c r="AA34" s="33"/>
    </row>
    <row r="35" spans="1:27" x14ac:dyDescent="0.35">
      <c r="A35" s="1">
        <v>30</v>
      </c>
      <c r="B35" s="5" t="s">
        <v>73</v>
      </c>
      <c r="C35" s="8">
        <f t="shared" si="1"/>
        <v>-29.421527419999997</v>
      </c>
      <c r="D35" s="8">
        <f t="shared" si="2"/>
        <v>-21.538120462046809</v>
      </c>
      <c r="E35" s="36">
        <f t="shared" si="10"/>
        <v>-0.26794689634618529</v>
      </c>
      <c r="F35" s="33"/>
      <c r="G35" s="33"/>
      <c r="H35" s="5" t="s">
        <v>73</v>
      </c>
      <c r="I35" s="8">
        <v>-4.6026092199999997</v>
      </c>
      <c r="J35" s="8">
        <v>14.586818990000001</v>
      </c>
      <c r="K35" s="8">
        <v>-4.4328011099999998</v>
      </c>
      <c r="L35" s="8">
        <v>-90.356327449999995</v>
      </c>
      <c r="M35" s="8">
        <v>-4.1748449599999997</v>
      </c>
      <c r="N35" s="8">
        <v>-9.675633610000002</v>
      </c>
      <c r="O35" s="8">
        <v>-5.4907606900000001</v>
      </c>
      <c r="P35" s="8">
        <v>-34.22733968</v>
      </c>
      <c r="Q35" s="8">
        <v>-4.5141263599999997</v>
      </c>
      <c r="R35" s="8">
        <v>-10.757166999999999</v>
      </c>
      <c r="S35" s="8">
        <v>-9.9799288900000001</v>
      </c>
      <c r="T35" s="8">
        <v>-84.094405260000002</v>
      </c>
      <c r="U35" s="8">
        <v>-29.421527419999997</v>
      </c>
      <c r="V35" s="8">
        <v>-9.4264486699999992</v>
      </c>
      <c r="W35" s="8">
        <v>-7.9983524999999993</v>
      </c>
      <c r="X35" s="8">
        <v>-193.31770803000001</v>
      </c>
      <c r="Y35" s="8">
        <v>-21.538120462046809</v>
      </c>
      <c r="Z35" s="33"/>
      <c r="AA35" s="33"/>
    </row>
    <row r="36" spans="1:27" ht="5.25" customHeight="1" x14ac:dyDescent="0.35">
      <c r="A36" s="1">
        <v>31</v>
      </c>
      <c r="E36" s="39"/>
    </row>
    <row r="37" spans="1:27" x14ac:dyDescent="0.35">
      <c r="A37" s="1">
        <v>32</v>
      </c>
      <c r="B37" s="6" t="s">
        <v>74</v>
      </c>
      <c r="C37" s="9">
        <f t="shared" si="1"/>
        <v>-49.377285399999998</v>
      </c>
      <c r="D37" s="9">
        <f t="shared" si="2"/>
        <v>-43.865903973024921</v>
      </c>
      <c r="E37" s="38">
        <f>D37/C37-1</f>
        <v>-0.11161774857260742</v>
      </c>
      <c r="F37" s="33"/>
      <c r="G37" s="33"/>
      <c r="H37" s="6" t="s">
        <v>74</v>
      </c>
      <c r="I37" s="9">
        <f t="shared" ref="I37:Y37" si="11">SUM(I31:I35)</f>
        <v>-21.011590569999996</v>
      </c>
      <c r="J37" s="9">
        <f t="shared" si="11"/>
        <v>-0.89444493000000058</v>
      </c>
      <c r="K37" s="9">
        <f t="shared" si="11"/>
        <v>-19.058913140000001</v>
      </c>
      <c r="L37" s="9">
        <f t="shared" si="11"/>
        <v>-104.99515563</v>
      </c>
      <c r="M37" s="9">
        <f t="shared" si="11"/>
        <v>-16.91268376</v>
      </c>
      <c r="N37" s="9">
        <f t="shared" si="11"/>
        <v>-31.002756330000008</v>
      </c>
      <c r="O37" s="9">
        <f t="shared" si="11"/>
        <v>-20.165144160000001</v>
      </c>
      <c r="P37" s="9">
        <f t="shared" si="11"/>
        <v>-50.244271350000005</v>
      </c>
      <c r="Q37" s="9">
        <f t="shared" si="11"/>
        <v>-15.195531940000002</v>
      </c>
      <c r="R37" s="9">
        <f t="shared" si="11"/>
        <v>-27.385603370000002</v>
      </c>
      <c r="S37" s="9">
        <f t="shared" si="11"/>
        <v>-33.534353119999999</v>
      </c>
      <c r="T37" s="9">
        <f t="shared" si="11"/>
        <v>-100.25777028</v>
      </c>
      <c r="U37" s="9">
        <f t="shared" si="11"/>
        <v>-49.377285399999998</v>
      </c>
      <c r="V37" s="9">
        <f t="shared" si="11"/>
        <v>-22.110786490000002</v>
      </c>
      <c r="W37" s="9">
        <f t="shared" si="11"/>
        <v>-24.846660460000006</v>
      </c>
      <c r="X37" s="9">
        <f t="shared" si="11"/>
        <v>-207.38689343693545</v>
      </c>
      <c r="Y37" s="9">
        <f t="shared" si="11"/>
        <v>-43.865903973024921</v>
      </c>
      <c r="Z37" s="33"/>
      <c r="AA37" s="33"/>
    </row>
    <row r="38" spans="1:27" ht="5.25" customHeight="1" x14ac:dyDescent="0.35">
      <c r="A38" s="1">
        <v>33</v>
      </c>
      <c r="E38" s="39"/>
    </row>
    <row r="39" spans="1:27" x14ac:dyDescent="0.35">
      <c r="A39" s="1">
        <v>34</v>
      </c>
      <c r="B39" s="6" t="s">
        <v>75</v>
      </c>
      <c r="C39" s="9">
        <f t="shared" si="1"/>
        <v>62.396858200000032</v>
      </c>
      <c r="D39" s="9">
        <f t="shared" si="2"/>
        <v>38.062314036447056</v>
      </c>
      <c r="E39" s="62" t="s">
        <v>44</v>
      </c>
      <c r="F39" s="33"/>
      <c r="G39" s="33"/>
      <c r="H39" s="6" t="s">
        <v>75</v>
      </c>
      <c r="I39" s="9">
        <f t="shared" ref="I39:Y39" si="12">I37+I27</f>
        <v>74.216873800000016</v>
      </c>
      <c r="J39" s="9">
        <f t="shared" si="12"/>
        <v>97.210981720000021</v>
      </c>
      <c r="K39" s="9">
        <f t="shared" si="12"/>
        <v>95.434274109999905</v>
      </c>
      <c r="L39" s="9">
        <f t="shared" si="12"/>
        <v>55.820120349999968</v>
      </c>
      <c r="M39" s="9">
        <f t="shared" si="12"/>
        <v>88.046273450000001</v>
      </c>
      <c r="N39" s="9">
        <f t="shared" si="12"/>
        <v>64.174972109999985</v>
      </c>
      <c r="O39" s="9">
        <f t="shared" si="12"/>
        <v>76.681309470000002</v>
      </c>
      <c r="P39" s="9">
        <f t="shared" si="12"/>
        <v>99.901983969999989</v>
      </c>
      <c r="Q39" s="9">
        <f t="shared" si="12"/>
        <v>86.362344919999941</v>
      </c>
      <c r="R39" s="9">
        <f t="shared" si="12"/>
        <v>80.409440120000028</v>
      </c>
      <c r="S39" s="9">
        <f t="shared" si="12"/>
        <v>81.328118430000018</v>
      </c>
      <c r="T39" s="9">
        <f t="shared" si="12"/>
        <v>22.002141311313707</v>
      </c>
      <c r="U39" s="9">
        <f t="shared" si="12"/>
        <v>62.396858200000032</v>
      </c>
      <c r="V39" s="9">
        <f t="shared" si="12"/>
        <v>72.17015920999998</v>
      </c>
      <c r="W39" s="9">
        <f t="shared" si="12"/>
        <v>88.036666690000018</v>
      </c>
      <c r="X39" s="9">
        <f t="shared" si="12"/>
        <v>-90.400496469067434</v>
      </c>
      <c r="Y39" s="9">
        <f t="shared" si="12"/>
        <v>38.062314036447056</v>
      </c>
      <c r="Z39" s="33"/>
      <c r="AA39" s="33"/>
    </row>
    <row r="40" spans="1:27" ht="5.25" customHeight="1" x14ac:dyDescent="0.35">
      <c r="A40" s="1">
        <v>35</v>
      </c>
      <c r="E40" s="39"/>
    </row>
    <row r="41" spans="1:27" x14ac:dyDescent="0.35">
      <c r="A41" s="1">
        <v>36</v>
      </c>
      <c r="B41" s="5" t="s">
        <v>76</v>
      </c>
      <c r="C41" s="8">
        <f t="shared" si="1"/>
        <v>-21.937182589999999</v>
      </c>
      <c r="D41" s="8">
        <f t="shared" si="2"/>
        <v>-79.278427563875454</v>
      </c>
      <c r="E41" s="64" t="s">
        <v>44</v>
      </c>
      <c r="F41" s="33"/>
      <c r="G41" s="33"/>
      <c r="H41" s="5" t="s">
        <v>76</v>
      </c>
      <c r="I41" s="8">
        <v>-13.69505232</v>
      </c>
      <c r="J41" s="8">
        <v>-18.882848859999999</v>
      </c>
      <c r="K41" s="8">
        <v>-25.223481329999998</v>
      </c>
      <c r="L41" s="8">
        <v>23.721189170000002</v>
      </c>
      <c r="M41" s="8">
        <v>-23.63957486</v>
      </c>
      <c r="N41" s="8">
        <v>-19.410159239999999</v>
      </c>
      <c r="O41" s="8">
        <v>-22.801540859999999</v>
      </c>
      <c r="P41" s="8">
        <v>-32.56690244</v>
      </c>
      <c r="Q41" s="8">
        <v>-20.027774229999999</v>
      </c>
      <c r="R41" s="8">
        <v>-19.03428903</v>
      </c>
      <c r="S41" s="8">
        <v>-26.635552539999999</v>
      </c>
      <c r="T41" s="8">
        <v>-2.5187302100000011</v>
      </c>
      <c r="U41" s="8">
        <v>-21.937182589999999</v>
      </c>
      <c r="V41" s="8">
        <v>-22.502922009999999</v>
      </c>
      <c r="W41" s="8">
        <v>-25.82951456</v>
      </c>
      <c r="X41" s="8">
        <v>27.518141006061192</v>
      </c>
      <c r="Y41" s="8">
        <v>-79.278427563875454</v>
      </c>
      <c r="Z41" s="33"/>
      <c r="AA41" s="33"/>
    </row>
    <row r="42" spans="1:27" ht="6.75" customHeight="1" x14ac:dyDescent="0.35">
      <c r="A42" s="1">
        <v>37</v>
      </c>
      <c r="E42" s="39"/>
    </row>
    <row r="43" spans="1:27" x14ac:dyDescent="0.35">
      <c r="A43" s="1">
        <v>38</v>
      </c>
      <c r="B43" s="3" t="s">
        <v>77</v>
      </c>
      <c r="C43" s="10">
        <f t="shared" si="1"/>
        <v>40.459675610000033</v>
      </c>
      <c r="D43" s="17">
        <f t="shared" si="2"/>
        <v>-41.216113527428398</v>
      </c>
      <c r="E43" s="88" t="s">
        <v>44</v>
      </c>
      <c r="F43" s="33"/>
      <c r="G43" s="33"/>
      <c r="H43" s="3" t="s">
        <v>77</v>
      </c>
      <c r="I43" s="10">
        <f t="shared" ref="I43:Y43" si="13">I39+I41</f>
        <v>60.521821480000014</v>
      </c>
      <c r="J43" s="10">
        <f t="shared" si="13"/>
        <v>78.328132860000025</v>
      </c>
      <c r="K43" s="10">
        <f t="shared" si="13"/>
        <v>70.210792779999906</v>
      </c>
      <c r="L43" s="10">
        <f t="shared" si="13"/>
        <v>79.54130951999997</v>
      </c>
      <c r="M43" s="10">
        <f t="shared" si="13"/>
        <v>64.406698590000005</v>
      </c>
      <c r="N43" s="10">
        <f t="shared" si="13"/>
        <v>44.764812869999986</v>
      </c>
      <c r="O43" s="10">
        <f t="shared" si="13"/>
        <v>53.879768609999999</v>
      </c>
      <c r="P43" s="10">
        <f t="shared" si="13"/>
        <v>67.335081529999997</v>
      </c>
      <c r="Q43" s="10">
        <f t="shared" si="13"/>
        <v>66.334570689999936</v>
      </c>
      <c r="R43" s="10">
        <f t="shared" si="13"/>
        <v>61.375151090000031</v>
      </c>
      <c r="S43" s="10">
        <f t="shared" si="13"/>
        <v>54.692565890000019</v>
      </c>
      <c r="T43" s="10">
        <f t="shared" si="13"/>
        <v>19.483411101313706</v>
      </c>
      <c r="U43" s="10">
        <f t="shared" si="13"/>
        <v>40.459675610000033</v>
      </c>
      <c r="V43" s="10">
        <f t="shared" si="13"/>
        <v>49.667237199999981</v>
      </c>
      <c r="W43" s="10">
        <f t="shared" si="13"/>
        <v>62.207152130000019</v>
      </c>
      <c r="X43" s="17">
        <f t="shared" si="13"/>
        <v>-62.882355463006242</v>
      </c>
      <c r="Y43" s="17">
        <f t="shared" si="13"/>
        <v>-41.216113527428398</v>
      </c>
      <c r="Z43" s="33"/>
      <c r="AA43" s="33"/>
    </row>
    <row r="44" spans="1:27" ht="5.25" customHeight="1" x14ac:dyDescent="0.35">
      <c r="A44" s="1">
        <v>39</v>
      </c>
      <c r="E44" s="39"/>
    </row>
    <row r="45" spans="1:27" x14ac:dyDescent="0.35">
      <c r="A45" s="1">
        <v>40</v>
      </c>
      <c r="B45" s="5" t="s">
        <v>78</v>
      </c>
      <c r="C45" s="8">
        <f t="shared" si="1"/>
        <v>43.699793619999994</v>
      </c>
      <c r="D45" s="8">
        <f t="shared" si="2"/>
        <v>-38.892376677428295</v>
      </c>
      <c r="E45" s="64" t="s">
        <v>44</v>
      </c>
      <c r="F45" s="33"/>
      <c r="G45" s="33"/>
      <c r="H45" s="5" t="s">
        <v>78</v>
      </c>
      <c r="I45" s="8">
        <v>56.902500880000005</v>
      </c>
      <c r="J45" s="8">
        <v>67.315819309999995</v>
      </c>
      <c r="K45" s="8">
        <v>70.133168250000011</v>
      </c>
      <c r="L45" s="8">
        <v>76.633404929999998</v>
      </c>
      <c r="M45" s="8">
        <v>65.157573959999993</v>
      </c>
      <c r="N45" s="8">
        <v>46.496960739999999</v>
      </c>
      <c r="O45" s="8">
        <v>56.817234620000008</v>
      </c>
      <c r="P45" s="8">
        <v>71.850721269999994</v>
      </c>
      <c r="Q45" s="8">
        <v>64.403329459999995</v>
      </c>
      <c r="R45" s="8">
        <v>61.31662017</v>
      </c>
      <c r="S45" s="8">
        <v>59.087229970000003</v>
      </c>
      <c r="T45" s="8">
        <v>18.238692839152353</v>
      </c>
      <c r="U45" s="8">
        <v>43.699793619999994</v>
      </c>
      <c r="V45" s="8">
        <v>54.130137500000004</v>
      </c>
      <c r="W45" s="8">
        <v>64.605734240000004</v>
      </c>
      <c r="X45" s="8">
        <v>0.45741877699381206</v>
      </c>
      <c r="Y45" s="8">
        <v>-38.892376677428295</v>
      </c>
    </row>
    <row r="46" spans="1:27" x14ac:dyDescent="0.35">
      <c r="A46" s="1">
        <v>41</v>
      </c>
      <c r="B46" s="5" t="s">
        <v>79</v>
      </c>
      <c r="C46" s="8">
        <f>+HLOOKUP($C$6,$H$6:$AQ$46,A46,FALSE)</f>
        <v>-3.2401180099999998</v>
      </c>
      <c r="D46" s="8">
        <f t="shared" si="2"/>
        <v>-2.32373685</v>
      </c>
      <c r="E46" s="64" t="s">
        <v>44</v>
      </c>
      <c r="F46" s="33"/>
      <c r="G46" s="33"/>
      <c r="H46" s="5" t="s">
        <v>79</v>
      </c>
      <c r="I46" s="8">
        <v>3.6193206</v>
      </c>
      <c r="J46" s="8">
        <v>11.012313550000002</v>
      </c>
      <c r="K46" s="8">
        <v>7.7624529999999914E-2</v>
      </c>
      <c r="L46" s="8">
        <v>2.90790405</v>
      </c>
      <c r="M46" s="8">
        <v>-0.7505204999999997</v>
      </c>
      <c r="N46" s="8">
        <v>-1.7321478700000001</v>
      </c>
      <c r="O46" s="8">
        <v>-2.9374660100000001</v>
      </c>
      <c r="P46" s="8">
        <v>-4.5044716199999995</v>
      </c>
      <c r="Q46" s="8">
        <v>1.1312412300000148</v>
      </c>
      <c r="R46" s="8">
        <v>5.8530919999999986E-2</v>
      </c>
      <c r="S46" s="8">
        <v>-4.3946640800000001</v>
      </c>
      <c r="T46" s="8">
        <v>1.2447182600000002</v>
      </c>
      <c r="U46" s="8">
        <v>-3.2401180099999998</v>
      </c>
      <c r="V46" s="8">
        <v>-4.4629003100000002</v>
      </c>
      <c r="W46" s="8">
        <v>-2.39858211</v>
      </c>
      <c r="X46" s="8">
        <v>-63.323743620000002</v>
      </c>
      <c r="Y46" s="8">
        <v>-2.32373685</v>
      </c>
    </row>
    <row r="48" spans="1:27" x14ac:dyDescent="0.35">
      <c r="I48" s="33"/>
      <c r="J48" s="33"/>
      <c r="K48" s="33"/>
      <c r="L48" s="33"/>
      <c r="M48" s="33"/>
      <c r="N48" s="33"/>
      <c r="O48" s="33"/>
      <c r="S48" s="33"/>
      <c r="T48" s="33"/>
      <c r="U48" s="33"/>
      <c r="V48" s="33"/>
      <c r="W48" s="33"/>
      <c r="X48" s="33"/>
      <c r="Y48" s="33"/>
    </row>
    <row r="49" spans="2:5" ht="76.5" customHeight="1" x14ac:dyDescent="0.35">
      <c r="B49" s="102" t="s">
        <v>131</v>
      </c>
      <c r="C49" s="102"/>
      <c r="D49" s="102"/>
      <c r="E49" s="102"/>
    </row>
    <row r="50" spans="2:5" ht="207" customHeight="1" x14ac:dyDescent="0.35">
      <c r="B50" s="102"/>
      <c r="C50" s="102"/>
      <c r="D50" s="102"/>
      <c r="E50" s="102"/>
    </row>
  </sheetData>
  <mergeCells count="22">
    <mergeCell ref="K6:K7"/>
    <mergeCell ref="L6:L7"/>
    <mergeCell ref="M6:M7"/>
    <mergeCell ref="B50:E50"/>
    <mergeCell ref="I6:I7"/>
    <mergeCell ref="J6:J7"/>
    <mergeCell ref="C6:C7"/>
    <mergeCell ref="D6:D7"/>
    <mergeCell ref="E6:E7"/>
    <mergeCell ref="B49:E49"/>
    <mergeCell ref="N6:N7"/>
    <mergeCell ref="Y6:Y7"/>
    <mergeCell ref="W6:W7"/>
    <mergeCell ref="V6:V7"/>
    <mergeCell ref="U6:U7"/>
    <mergeCell ref="T6:T7"/>
    <mergeCell ref="O6:O7"/>
    <mergeCell ref="S6:S7"/>
    <mergeCell ref="X6:X7"/>
    <mergeCell ref="R6:R7"/>
    <mergeCell ref="P6:P7"/>
    <mergeCell ref="Q6:Q7"/>
  </mergeCells>
  <pageMargins left="0.7" right="0.7" top="0.75" bottom="0.75" header="0.3" footer="0.3"/>
  <pageSetup orientation="portrait" r:id="rId1"/>
  <ignoredErrors>
    <ignoredError sqref="P9"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5:AL91"/>
  <sheetViews>
    <sheetView topLeftCell="B1" zoomScaleNormal="100" zoomScaleSheetLayoutView="100" workbookViewId="0">
      <selection activeCell="H5" sqref="H5"/>
    </sheetView>
  </sheetViews>
  <sheetFormatPr baseColWidth="10" defaultColWidth="11.44140625" defaultRowHeight="14.4" x14ac:dyDescent="0.35"/>
  <cols>
    <col min="1" max="1" width="0" style="1" hidden="1" customWidth="1"/>
    <col min="2" max="2" width="38.5546875" style="1" customWidth="1"/>
    <col min="3" max="7" width="11.44140625" style="1"/>
    <col min="8" max="8" width="42.33203125" style="1" customWidth="1"/>
    <col min="9" max="36" width="11.44140625" style="1" customWidth="1"/>
    <col min="37" max="16384" width="11.44140625" style="1"/>
  </cols>
  <sheetData>
    <row r="5" spans="2:38" ht="23.4" x14ac:dyDescent="0.45">
      <c r="B5" s="12" t="s">
        <v>80</v>
      </c>
      <c r="C5" s="13"/>
      <c r="D5" s="13"/>
      <c r="E5" s="13"/>
      <c r="H5" s="12" t="s">
        <v>81</v>
      </c>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row>
    <row r="7" spans="2:38" x14ac:dyDescent="0.35">
      <c r="B7" s="3" t="s">
        <v>84</v>
      </c>
      <c r="C7" s="99" t="s">
        <v>128</v>
      </c>
      <c r="D7" s="99" t="s">
        <v>143</v>
      </c>
      <c r="E7" s="99" t="s">
        <v>83</v>
      </c>
      <c r="H7" s="3" t="s">
        <v>84</v>
      </c>
      <c r="I7" s="75" t="s">
        <v>6</v>
      </c>
      <c r="J7" s="75" t="s">
        <v>7</v>
      </c>
      <c r="K7" s="75" t="s">
        <v>8</v>
      </c>
      <c r="L7" s="75" t="s">
        <v>9</v>
      </c>
      <c r="M7" s="75" t="s">
        <v>10</v>
      </c>
      <c r="N7" s="75" t="s">
        <v>11</v>
      </c>
      <c r="O7" s="75" t="s">
        <v>12</v>
      </c>
      <c r="P7" s="75" t="s">
        <v>13</v>
      </c>
      <c r="Q7" s="75" t="s">
        <v>14</v>
      </c>
      <c r="R7" s="75" t="s">
        <v>15</v>
      </c>
      <c r="S7" s="75" t="s">
        <v>16</v>
      </c>
      <c r="T7" s="75" t="s">
        <v>17</v>
      </c>
      <c r="U7" s="99" t="s">
        <v>18</v>
      </c>
      <c r="V7" s="99" t="s">
        <v>19</v>
      </c>
      <c r="W7" s="99" t="s">
        <v>20</v>
      </c>
      <c r="X7" s="99" t="s">
        <v>21</v>
      </c>
      <c r="Y7" s="99" t="s">
        <v>22</v>
      </c>
      <c r="Z7" s="99" t="s">
        <v>23</v>
      </c>
      <c r="AA7" s="99" t="s">
        <v>24</v>
      </c>
      <c r="AB7" s="99" t="s">
        <v>2</v>
      </c>
      <c r="AC7" s="99" t="s">
        <v>25</v>
      </c>
      <c r="AD7" s="99" t="s">
        <v>26</v>
      </c>
      <c r="AE7" s="99" t="s">
        <v>27</v>
      </c>
      <c r="AF7" s="99" t="s">
        <v>3</v>
      </c>
      <c r="AG7" s="99" t="s">
        <v>128</v>
      </c>
      <c r="AH7" s="99" t="s">
        <v>130</v>
      </c>
      <c r="AI7" s="99" t="s">
        <v>139</v>
      </c>
      <c r="AJ7" s="99" t="s">
        <v>141</v>
      </c>
      <c r="AK7" s="99" t="s">
        <v>143</v>
      </c>
    </row>
    <row r="8" spans="2:38" x14ac:dyDescent="0.35">
      <c r="B8" s="3" t="s">
        <v>52</v>
      </c>
      <c r="C8" s="99"/>
      <c r="D8" s="99"/>
      <c r="E8" s="99"/>
      <c r="H8" s="3" t="s">
        <v>52</v>
      </c>
      <c r="I8" s="75"/>
      <c r="J8" s="75"/>
      <c r="K8" s="75"/>
      <c r="L8" s="75"/>
      <c r="M8" s="75"/>
      <c r="N8" s="75"/>
      <c r="O8" s="75"/>
      <c r="P8" s="75"/>
      <c r="Q8" s="75"/>
      <c r="R8" s="75"/>
      <c r="S8" s="75"/>
      <c r="T8" s="75"/>
      <c r="U8" s="99"/>
      <c r="V8" s="99"/>
      <c r="W8" s="99"/>
      <c r="X8" s="99"/>
      <c r="Y8" s="99"/>
      <c r="Z8" s="99"/>
      <c r="AA8" s="99"/>
      <c r="AB8" s="99"/>
      <c r="AC8" s="99"/>
      <c r="AD8" s="99"/>
      <c r="AE8" s="99"/>
      <c r="AF8" s="99"/>
      <c r="AG8" s="99"/>
      <c r="AH8" s="99"/>
      <c r="AI8" s="99"/>
      <c r="AJ8" s="99"/>
      <c r="AK8" s="99"/>
    </row>
    <row r="10" spans="2:38" x14ac:dyDescent="0.35">
      <c r="B10" s="2" t="s">
        <v>84</v>
      </c>
      <c r="C10" s="9">
        <f>+SUM(C11:C15)</f>
        <v>289.76807782999998</v>
      </c>
      <c r="D10" s="9">
        <f>SUM(D11:D15)</f>
        <v>288.54875404945614</v>
      </c>
      <c r="E10" s="38">
        <f t="shared" ref="E10:E33" si="0">D10/C10-1</f>
        <v>-4.2079299751548449E-3</v>
      </c>
      <c r="H10" s="2" t="s">
        <v>84</v>
      </c>
      <c r="I10" s="9">
        <f t="shared" ref="I10:AI10" si="1">SUM(I11:I15)</f>
        <v>413.24504169000005</v>
      </c>
      <c r="J10" s="9">
        <f t="shared" si="1"/>
        <v>408.02186204000003</v>
      </c>
      <c r="K10" s="9">
        <f t="shared" si="1"/>
        <v>351.24406281</v>
      </c>
      <c r="L10" s="9">
        <f t="shared" si="1"/>
        <v>330.06554598999998</v>
      </c>
      <c r="M10" s="9">
        <f t="shared" si="1"/>
        <v>317.00992109000003</v>
      </c>
      <c r="N10" s="9">
        <f t="shared" si="1"/>
        <v>358.45925773000005</v>
      </c>
      <c r="O10" s="9">
        <f t="shared" si="1"/>
        <v>336.99432981999996</v>
      </c>
      <c r="P10" s="9">
        <f t="shared" si="1"/>
        <v>295.2</v>
      </c>
      <c r="Q10" s="9">
        <f t="shared" si="1"/>
        <v>306.96104971</v>
      </c>
      <c r="R10" s="9">
        <f t="shared" si="1"/>
        <v>315.18701463999997</v>
      </c>
      <c r="S10" s="9">
        <f t="shared" si="1"/>
        <v>285.26607687999996</v>
      </c>
      <c r="T10" s="9">
        <f t="shared" si="1"/>
        <v>312.09914898</v>
      </c>
      <c r="U10" s="9">
        <f t="shared" si="1"/>
        <v>334.40723076999996</v>
      </c>
      <c r="V10" s="9">
        <f t="shared" si="1"/>
        <v>346.55393107000003</v>
      </c>
      <c r="W10" s="9">
        <f t="shared" si="1"/>
        <v>332.52042805999997</v>
      </c>
      <c r="X10" s="9">
        <f t="shared" si="1"/>
        <v>342.09300468000004</v>
      </c>
      <c r="Y10" s="9">
        <f t="shared" si="1"/>
        <v>353.94514801000003</v>
      </c>
      <c r="Z10" s="9">
        <f t="shared" si="1"/>
        <v>348.51063906000007</v>
      </c>
      <c r="AA10" s="9">
        <f t="shared" si="1"/>
        <v>320.06585212000005</v>
      </c>
      <c r="AB10" s="9">
        <f>+AB11+AB12+AB13+AB14+AB15</f>
        <v>347.33065854</v>
      </c>
      <c r="AC10" s="9">
        <f t="shared" si="1"/>
        <v>341.09638778000004</v>
      </c>
      <c r="AD10" s="9">
        <f t="shared" si="1"/>
        <v>349.16334979000004</v>
      </c>
      <c r="AE10" s="9">
        <f t="shared" si="1"/>
        <v>336.11869616000007</v>
      </c>
      <c r="AF10" s="9">
        <f>SUM(AF11:AF15)</f>
        <v>304.75488297216134</v>
      </c>
      <c r="AG10" s="9">
        <f t="shared" si="1"/>
        <v>304.92839223000004</v>
      </c>
      <c r="AH10" s="9">
        <f t="shared" si="1"/>
        <v>291.72425158999999</v>
      </c>
      <c r="AI10" s="9">
        <f t="shared" si="1"/>
        <v>301.11284210999997</v>
      </c>
      <c r="AJ10" s="9">
        <f>SUM(AJ11:AJ15)</f>
        <v>291.66198053907101</v>
      </c>
      <c r="AK10" s="9">
        <f>SUM(AK11:AK15)</f>
        <v>297.6257196794561</v>
      </c>
      <c r="AL10" s="53"/>
    </row>
    <row r="11" spans="2:38" x14ac:dyDescent="0.35">
      <c r="B11" s="5" t="s">
        <v>85</v>
      </c>
      <c r="C11" s="7">
        <v>85.40246028</v>
      </c>
      <c r="D11" s="7">
        <v>80.394318520000013</v>
      </c>
      <c r="E11" s="36">
        <f t="shared" si="0"/>
        <v>-5.8641656734247705E-2</v>
      </c>
      <c r="H11" s="5" t="s">
        <v>85</v>
      </c>
      <c r="I11" s="7">
        <v>165.97948997</v>
      </c>
      <c r="J11" s="7">
        <v>188.49707770999999</v>
      </c>
      <c r="K11" s="7">
        <v>186.63649657999997</v>
      </c>
      <c r="L11" s="7">
        <v>183.50712984</v>
      </c>
      <c r="M11" s="7">
        <v>167.63677664999997</v>
      </c>
      <c r="N11" s="7">
        <v>168.71629537000001</v>
      </c>
      <c r="O11" s="7">
        <v>144.29418787999998</v>
      </c>
      <c r="P11" s="7">
        <v>138</v>
      </c>
      <c r="Q11" s="7">
        <v>170.95826696</v>
      </c>
      <c r="R11" s="7">
        <v>147.25569370999997</v>
      </c>
      <c r="S11" s="7">
        <v>156.87191987999995</v>
      </c>
      <c r="T11" s="7">
        <v>162.03334683000003</v>
      </c>
      <c r="U11" s="7">
        <v>174.07059289</v>
      </c>
      <c r="V11" s="7">
        <v>164.98893743000002</v>
      </c>
      <c r="W11" s="7">
        <v>169.59507421999999</v>
      </c>
      <c r="X11" s="7">
        <v>165.59156586</v>
      </c>
      <c r="Y11" s="7">
        <v>158.00478936000002</v>
      </c>
      <c r="Z11" s="7">
        <v>149.08084310000004</v>
      </c>
      <c r="AA11" s="7">
        <v>149.56883198000003</v>
      </c>
      <c r="AB11" s="7">
        <f>166.6-AB64</f>
        <v>142.62038269999999</v>
      </c>
      <c r="AC11" s="7">
        <f>148-AC64</f>
        <v>120.40774446</v>
      </c>
      <c r="AD11" s="7">
        <v>121.72846186000001</v>
      </c>
      <c r="AE11" s="7">
        <v>122.14336145000004</v>
      </c>
      <c r="AF11" s="7">
        <f>133.84807263-AF64</f>
        <v>104.94583419999999</v>
      </c>
      <c r="AG11" s="7">
        <f>114.6884281-AG64</f>
        <v>85.40246028</v>
      </c>
      <c r="AH11" s="7">
        <f>95.65596281-AH64</f>
        <v>70.597202500000009</v>
      </c>
      <c r="AI11" s="7">
        <f>117.68062571-AI64</f>
        <v>90.903762</v>
      </c>
      <c r="AJ11" s="7">
        <f>110.34880305-AJ64</f>
        <v>82.93251309</v>
      </c>
      <c r="AK11" s="7">
        <f>107.74954268-AK64</f>
        <v>80.394318520000013</v>
      </c>
      <c r="AL11" s="53"/>
    </row>
    <row r="12" spans="2:38" x14ac:dyDescent="0.35">
      <c r="B12" s="5" t="s">
        <v>86</v>
      </c>
      <c r="C12" s="7">
        <v>163.07983377000002</v>
      </c>
      <c r="D12" s="7">
        <v>160.15493628000002</v>
      </c>
      <c r="E12" s="36">
        <f t="shared" si="0"/>
        <v>-1.7935372034565189E-2</v>
      </c>
      <c r="H12" s="5" t="s">
        <v>86</v>
      </c>
      <c r="I12" s="7">
        <v>150.77243078000001</v>
      </c>
      <c r="J12" s="7">
        <v>123.92201981999999</v>
      </c>
      <c r="K12" s="7">
        <v>120.66280569000001</v>
      </c>
      <c r="L12" s="7">
        <v>106.75534663999998</v>
      </c>
      <c r="M12" s="7">
        <v>73.031641460000003</v>
      </c>
      <c r="N12" s="7">
        <v>86.392646360000015</v>
      </c>
      <c r="O12" s="7">
        <v>96.76054504999999</v>
      </c>
      <c r="P12" s="7">
        <v>101.5</v>
      </c>
      <c r="Q12" s="7">
        <v>90.937325090000002</v>
      </c>
      <c r="R12" s="7">
        <v>88.196378429999996</v>
      </c>
      <c r="S12" s="7">
        <v>87.818069400000013</v>
      </c>
      <c r="T12" s="7">
        <v>116.27806589999999</v>
      </c>
      <c r="U12" s="7">
        <v>89.859854289999987</v>
      </c>
      <c r="V12" s="7">
        <v>97.303830059999996</v>
      </c>
      <c r="W12" s="7">
        <v>106.30207426000001</v>
      </c>
      <c r="X12" s="7">
        <v>120.75143799999999</v>
      </c>
      <c r="Y12" s="7">
        <v>141.77274656</v>
      </c>
      <c r="Z12" s="44">
        <v>141.20456391000002</v>
      </c>
      <c r="AA12" s="44">
        <v>142.17470935000003</v>
      </c>
      <c r="AB12" s="7">
        <f>180-AB65</f>
        <v>173.02595392000001</v>
      </c>
      <c r="AC12" s="7">
        <f>164-AC65</f>
        <v>155.65650081000001</v>
      </c>
      <c r="AD12" s="7">
        <v>157.80371734000002</v>
      </c>
      <c r="AE12" s="7">
        <v>180.18419281999999</v>
      </c>
      <c r="AF12" s="7">
        <f>186.49362536-AF65</f>
        <v>178.32125483999999</v>
      </c>
      <c r="AG12" s="7">
        <f>168.538033-AG65</f>
        <v>163.07983377000002</v>
      </c>
      <c r="AH12" s="7">
        <f>171.75554184-AH65</f>
        <v>167.39293016000002</v>
      </c>
      <c r="AI12" s="7">
        <f>169.27509729-AI65</f>
        <v>162.71134824999999</v>
      </c>
      <c r="AJ12" s="7">
        <f>188.34526278-AJ65</f>
        <v>182.34156679</v>
      </c>
      <c r="AK12" s="7">
        <f>166.75441463-AK65</f>
        <v>160.15493628000002</v>
      </c>
      <c r="AL12" s="53"/>
    </row>
    <row r="13" spans="2:38" x14ac:dyDescent="0.35">
      <c r="B13" s="5" t="s">
        <v>87</v>
      </c>
      <c r="C13" s="7">
        <v>36.242600600000003</v>
      </c>
      <c r="D13" s="7">
        <v>24.907973869999996</v>
      </c>
      <c r="E13" s="36">
        <f t="shared" si="0"/>
        <v>-0.31274319564142994</v>
      </c>
      <c r="H13" s="5" t="s">
        <v>87</v>
      </c>
      <c r="I13" s="7">
        <v>1.5028240999999996</v>
      </c>
      <c r="J13" s="7">
        <v>49.894180069999997</v>
      </c>
      <c r="K13" s="7">
        <v>4.4164942199999997</v>
      </c>
      <c r="L13" s="7">
        <v>0.11559316000000001</v>
      </c>
      <c r="M13" s="7">
        <v>37.97244843</v>
      </c>
      <c r="N13" s="7">
        <v>61.590290149999994</v>
      </c>
      <c r="O13" s="7">
        <v>31.334177269999998</v>
      </c>
      <c r="P13" s="7">
        <v>22.6</v>
      </c>
      <c r="Q13" s="7">
        <v>15.926482890000001</v>
      </c>
      <c r="R13" s="7">
        <v>35.506546749999998</v>
      </c>
      <c r="S13" s="7">
        <v>2.8136687299999998</v>
      </c>
      <c r="T13" s="7">
        <v>-0.83844826000000339</v>
      </c>
      <c r="U13" s="7">
        <v>25.163804219999999</v>
      </c>
      <c r="V13" s="7">
        <v>43.337346090000004</v>
      </c>
      <c r="W13" s="7">
        <v>14.417883880000002</v>
      </c>
      <c r="X13" s="7">
        <v>16.366405319999998</v>
      </c>
      <c r="Y13" s="7">
        <v>31.975062109999996</v>
      </c>
      <c r="Z13" s="44">
        <v>39.212896179999994</v>
      </c>
      <c r="AA13" s="44">
        <v>11.762932279999999</v>
      </c>
      <c r="AB13" s="7">
        <f>16.75352979-AB66</f>
        <v>10.462075560000002</v>
      </c>
      <c r="AC13" s="7">
        <f>52.6-AC66</f>
        <v>47.765560749999999</v>
      </c>
      <c r="AD13" s="7">
        <v>43.158053299999992</v>
      </c>
      <c r="AE13" s="7">
        <v>6.1860102600000033</v>
      </c>
      <c r="AF13" s="7">
        <f>7.57846146216136-AF66</f>
        <v>4.5668948321613598</v>
      </c>
      <c r="AG13" s="7">
        <f>37.90068371-AG66</f>
        <v>36.242600600000003</v>
      </c>
      <c r="AH13" s="7">
        <f>31.0031451-AH66</f>
        <v>27.08840919</v>
      </c>
      <c r="AI13" s="7">
        <f>38.46334234-AI66</f>
        <v>30.277005829999997</v>
      </c>
      <c r="AJ13" s="7">
        <f>24.28213842-AJ66</f>
        <v>15.143313109999999</v>
      </c>
      <c r="AK13" s="7">
        <f>27.35959185-AK66</f>
        <v>24.850406810000003</v>
      </c>
      <c r="AL13" s="93"/>
    </row>
    <row r="14" spans="2:38" x14ac:dyDescent="0.35">
      <c r="B14" s="5" t="s">
        <v>57</v>
      </c>
      <c r="C14" s="57">
        <v>0</v>
      </c>
      <c r="D14" s="44">
        <v>0</v>
      </c>
      <c r="E14" s="57">
        <v>0</v>
      </c>
      <c r="H14" s="5" t="s">
        <v>57</v>
      </c>
      <c r="I14" s="7">
        <v>41.156034410000004</v>
      </c>
      <c r="J14" s="7">
        <v>45.093694849999999</v>
      </c>
      <c r="K14" s="7">
        <v>39.179404990000002</v>
      </c>
      <c r="L14" s="7">
        <v>37.815244419999999</v>
      </c>
      <c r="M14" s="7">
        <v>36.024857099999998</v>
      </c>
      <c r="N14" s="7">
        <v>39.49619045</v>
      </c>
      <c r="O14" s="7">
        <v>37.876558799999998</v>
      </c>
      <c r="P14" s="7">
        <v>31.7</v>
      </c>
      <c r="Q14" s="7">
        <v>28.420257320000005</v>
      </c>
      <c r="R14" s="7">
        <v>43.988652819999999</v>
      </c>
      <c r="S14" s="7">
        <v>37.405080679999998</v>
      </c>
      <c r="T14" s="7">
        <v>32.429191130000014</v>
      </c>
      <c r="U14" s="7">
        <v>40.141034320000003</v>
      </c>
      <c r="V14" s="7">
        <v>35.80881715000001</v>
      </c>
      <c r="W14" s="7">
        <v>36.7775417</v>
      </c>
      <c r="X14" s="7">
        <v>35.566902029999994</v>
      </c>
      <c r="Y14" s="7">
        <v>16.340877990000003</v>
      </c>
      <c r="Z14" s="44">
        <v>13.981938399999999</v>
      </c>
      <c r="AA14" s="44">
        <v>11.010783440000001</v>
      </c>
      <c r="AB14" s="7">
        <v>15.06275686</v>
      </c>
      <c r="AC14" s="7">
        <f>10.45666325-AC67</f>
        <v>10.45666325</v>
      </c>
      <c r="AD14" s="7">
        <v>18.083903670000005</v>
      </c>
      <c r="AE14" s="7">
        <v>20.128161159999998</v>
      </c>
      <c r="AF14" s="7">
        <f>12.92461491-AF67</f>
        <v>12.924614910000001</v>
      </c>
      <c r="AG14" s="7">
        <f>15.14027786-AG67</f>
        <v>15.140277859999999</v>
      </c>
      <c r="AH14" s="7">
        <v>19.754234069999995</v>
      </c>
      <c r="AI14" s="7">
        <v>14.265083909999994</v>
      </c>
      <c r="AJ14" s="7">
        <v>6.129047700000001</v>
      </c>
      <c r="AK14" s="7">
        <f>26.02272966-AK67</f>
        <v>26.02272966</v>
      </c>
      <c r="AL14" s="53"/>
    </row>
    <row r="15" spans="2:38" x14ac:dyDescent="0.35">
      <c r="B15" s="5" t="s">
        <v>55</v>
      </c>
      <c r="C15" s="7">
        <v>5.0431831799999989</v>
      </c>
      <c r="D15" s="7">
        <v>23.091525379456119</v>
      </c>
      <c r="E15" s="57" t="s">
        <v>44</v>
      </c>
      <c r="H15" s="5" t="s">
        <v>55</v>
      </c>
      <c r="I15" s="7">
        <v>53.834262430000003</v>
      </c>
      <c r="J15" s="7">
        <v>0.61488958999999999</v>
      </c>
      <c r="K15" s="7">
        <v>0.34886132999999997</v>
      </c>
      <c r="L15" s="7">
        <v>1.8722319299999999</v>
      </c>
      <c r="M15" s="7">
        <v>2.3441974500000002</v>
      </c>
      <c r="N15" s="7">
        <v>2.2638354000000001</v>
      </c>
      <c r="O15" s="7">
        <v>26.728860820000001</v>
      </c>
      <c r="P15" s="7">
        <v>1.4</v>
      </c>
      <c r="Q15" s="7">
        <v>0.71871744999999998</v>
      </c>
      <c r="R15" s="7">
        <v>0.23974292999999997</v>
      </c>
      <c r="S15" s="7">
        <v>0.35733819000000006</v>
      </c>
      <c r="T15" s="7">
        <v>2.1969933800000003</v>
      </c>
      <c r="U15" s="7">
        <v>5.1719450499999988</v>
      </c>
      <c r="V15" s="7">
        <v>5.1150003399999999</v>
      </c>
      <c r="W15" s="7">
        <v>5.4278540000000008</v>
      </c>
      <c r="X15" s="7">
        <v>3.8166934700000001</v>
      </c>
      <c r="Y15" s="7">
        <v>5.8516719899999989</v>
      </c>
      <c r="Z15" s="44">
        <v>5.0303974700000005</v>
      </c>
      <c r="AA15" s="44">
        <v>5.5485950699999984</v>
      </c>
      <c r="AB15" s="7">
        <f>7.3-AB68</f>
        <v>6.1594894999999994</v>
      </c>
      <c r="AC15" s="7">
        <f>8-AC68</f>
        <v>6.8099185100000001</v>
      </c>
      <c r="AD15" s="7">
        <v>8.3892136199999996</v>
      </c>
      <c r="AE15" s="7">
        <v>7.476970470000003</v>
      </c>
      <c r="AF15" s="7">
        <f>11.22495761-AF68</f>
        <v>3.9962841899999999</v>
      </c>
      <c r="AG15" s="7">
        <f>6.34286927-AG68</f>
        <v>5.0632197199999993</v>
      </c>
      <c r="AH15" s="7">
        <f>8.34545564-AH68</f>
        <v>6.8914756700000011</v>
      </c>
      <c r="AI15" s="7">
        <f>4.31825038-AI68</f>
        <v>2.9556421200000003</v>
      </c>
      <c r="AJ15" s="7">
        <f>6.63551003907104-AJ68</f>
        <v>5.1155398490710393</v>
      </c>
      <c r="AK15" s="7">
        <f>7.69899216945612-AK68</f>
        <v>6.2033284094561196</v>
      </c>
      <c r="AL15" s="53"/>
    </row>
    <row r="16" spans="2:38" x14ac:dyDescent="0.35">
      <c r="C16" s="33"/>
      <c r="D16" s="33"/>
      <c r="E16" s="40"/>
      <c r="I16" s="33"/>
      <c r="J16" s="33"/>
      <c r="K16" s="33"/>
      <c r="L16" s="33"/>
      <c r="M16" s="33"/>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53"/>
    </row>
    <row r="17" spans="2:38" x14ac:dyDescent="0.35">
      <c r="B17" s="2" t="s">
        <v>88</v>
      </c>
      <c r="C17" s="9">
        <f t="shared" ref="C17" si="2">SUM(C18:C23)</f>
        <v>-136.6</v>
      </c>
      <c r="D17" s="9">
        <f t="shared" ref="D17" si="3">SUM(D18:D23)</f>
        <v>-150.85723719000001</v>
      </c>
      <c r="E17" s="38">
        <f>D17/C17-1</f>
        <v>0.10437216098096647</v>
      </c>
      <c r="H17" s="2" t="s">
        <v>88</v>
      </c>
      <c r="I17" s="9">
        <f t="shared" ref="I17:AJ17" si="4">SUM(I18:I23)</f>
        <v>-275.35129532000002</v>
      </c>
      <c r="J17" s="9">
        <f t="shared" si="4"/>
        <v>-245.57660835000001</v>
      </c>
      <c r="K17" s="9">
        <f t="shared" si="4"/>
        <v>-213.76067669000003</v>
      </c>
      <c r="L17" s="9">
        <f t="shared" si="4"/>
        <v>-149.01963957999999</v>
      </c>
      <c r="M17" s="9">
        <f t="shared" si="4"/>
        <v>-205.1628939</v>
      </c>
      <c r="N17" s="9">
        <f t="shared" si="4"/>
        <v>-201.26569451</v>
      </c>
      <c r="O17" s="9">
        <f t="shared" si="4"/>
        <v>-136.02479528999999</v>
      </c>
      <c r="P17" s="9">
        <f t="shared" si="4"/>
        <v>-98.7</v>
      </c>
      <c r="Q17" s="9">
        <f t="shared" si="4"/>
        <v>-132.75843111</v>
      </c>
      <c r="R17" s="9">
        <f t="shared" si="4"/>
        <v>-150.15819938999999</v>
      </c>
      <c r="S17" s="9">
        <f t="shared" si="4"/>
        <v>-154.75086822</v>
      </c>
      <c r="T17" s="9">
        <f t="shared" si="4"/>
        <v>-142.57810221000003</v>
      </c>
      <c r="U17" s="9">
        <f t="shared" si="4"/>
        <v>-167.26441367999999</v>
      </c>
      <c r="V17" s="9">
        <f t="shared" si="4"/>
        <v>-175.75027431000001</v>
      </c>
      <c r="W17" s="9">
        <f t="shared" si="4"/>
        <v>-147.17653369000001</v>
      </c>
      <c r="X17" s="9">
        <f t="shared" si="4"/>
        <v>-124.09420446999999</v>
      </c>
      <c r="Y17" s="9">
        <f t="shared" si="4"/>
        <v>-173.83893678999999</v>
      </c>
      <c r="Z17" s="9">
        <f t="shared" si="4"/>
        <v>-181.13288132</v>
      </c>
      <c r="AA17" s="9">
        <f t="shared" si="4"/>
        <v>-146.27714492000001</v>
      </c>
      <c r="AB17" s="9">
        <f t="shared" si="4"/>
        <v>-116.73437586999998</v>
      </c>
      <c r="AC17" s="9">
        <f t="shared" si="4"/>
        <v>-170.47125767000003</v>
      </c>
      <c r="AD17" s="9">
        <f t="shared" si="4"/>
        <v>-170.79738747000002</v>
      </c>
      <c r="AE17" s="9">
        <f t="shared" si="4"/>
        <v>-152.53082833000002</v>
      </c>
      <c r="AF17" s="9">
        <f t="shared" si="4"/>
        <v>-117.26530571084766</v>
      </c>
      <c r="AG17" s="9">
        <f t="shared" si="4"/>
        <v>-133.23689383999999</v>
      </c>
      <c r="AH17" s="9">
        <f t="shared" si="4"/>
        <v>-130.48381037000001</v>
      </c>
      <c r="AI17" s="9">
        <f t="shared" si="4"/>
        <v>-122.0033555</v>
      </c>
      <c r="AJ17" s="9">
        <f t="shared" si="4"/>
        <v>-103.64530324</v>
      </c>
      <c r="AK17" s="9">
        <f>+SUM(AK18:AK23)</f>
        <v>-144.31400551999999</v>
      </c>
      <c r="AL17" s="53"/>
    </row>
    <row r="18" spans="2:38" x14ac:dyDescent="0.35">
      <c r="B18" s="5" t="s">
        <v>57</v>
      </c>
      <c r="C18" s="44">
        <v>-28.4</v>
      </c>
      <c r="D18" s="44">
        <v>-38.824081999999997</v>
      </c>
      <c r="E18" s="36">
        <f t="shared" si="0"/>
        <v>0.36704514084507034</v>
      </c>
      <c r="H18" s="5" t="s">
        <v>57</v>
      </c>
      <c r="I18" s="44">
        <v>-48.867815859999993</v>
      </c>
      <c r="J18" s="44">
        <v>-36.536173910000002</v>
      </c>
      <c r="K18" s="44">
        <v>-36.232333570000002</v>
      </c>
      <c r="L18" s="44">
        <v>-40.281641289999996</v>
      </c>
      <c r="M18" s="44">
        <v>-39.09474281</v>
      </c>
      <c r="N18" s="44">
        <v>-34.689093559999996</v>
      </c>
      <c r="O18" s="44">
        <v>-34.50693442</v>
      </c>
      <c r="P18" s="44">
        <v>-33.299999999999997</v>
      </c>
      <c r="Q18" s="44">
        <v>-34.796432860000003</v>
      </c>
      <c r="R18" s="44">
        <v>-36.290084159999992</v>
      </c>
      <c r="S18" s="44">
        <v>-35.83344452</v>
      </c>
      <c r="T18" s="44">
        <v>-34.904950130000003</v>
      </c>
      <c r="U18" s="44">
        <v>-40.870053159999991</v>
      </c>
      <c r="V18" s="44">
        <v>-36.607482070000003</v>
      </c>
      <c r="W18" s="44">
        <v>-38.842737790000008</v>
      </c>
      <c r="X18" s="44">
        <v>-40.685668849999999</v>
      </c>
      <c r="Y18" s="44">
        <v>-39.213009910000004</v>
      </c>
      <c r="Z18" s="44">
        <v>-31.770287920000001</v>
      </c>
      <c r="AA18" s="44">
        <v>-26.527575679999998</v>
      </c>
      <c r="AB18" s="44">
        <f>+-32.17954707-AB71</f>
        <v>-32.179547069999998</v>
      </c>
      <c r="AC18" s="44">
        <f>+-32.9777754-AC71</f>
        <v>-32.4816121</v>
      </c>
      <c r="AD18" s="44">
        <f>+-34.29679217-AD71</f>
        <v>-33.566455930000004</v>
      </c>
      <c r="AE18" s="44">
        <v>-49.28598399000002</v>
      </c>
      <c r="AF18" s="44">
        <f>+-20.88005158-AF71</f>
        <v>-19.960651899999998</v>
      </c>
      <c r="AG18" s="44">
        <f>+-21.55022939-AG71</f>
        <v>-20.850229389999999</v>
      </c>
      <c r="AH18" s="44">
        <f>+-26.60999613-AH71</f>
        <v>-24.390609949999998</v>
      </c>
      <c r="AI18" s="44">
        <f>+-26.50304141-AI71</f>
        <v>-25.258113340000001</v>
      </c>
      <c r="AJ18" s="44">
        <f>+-38.09702692-AJ71</f>
        <v>-36.941916479999996</v>
      </c>
      <c r="AK18" s="44">
        <f>+-31.25610667-AK71</f>
        <v>-30.835691730000001</v>
      </c>
      <c r="AL18" s="53"/>
    </row>
    <row r="19" spans="2:38" x14ac:dyDescent="0.35">
      <c r="B19" s="5" t="s">
        <v>58</v>
      </c>
      <c r="C19" s="44">
        <v>-14.2</v>
      </c>
      <c r="D19" s="44">
        <v>-15.675936849999999</v>
      </c>
      <c r="E19" s="36">
        <f t="shared" si="0"/>
        <v>0.10393921478873236</v>
      </c>
      <c r="H19" s="5" t="s">
        <v>58</v>
      </c>
      <c r="I19" s="44">
        <v>-18.03067094</v>
      </c>
      <c r="J19" s="44">
        <v>-3.3591411400000002</v>
      </c>
      <c r="K19" s="44">
        <v>-20.369487509999999</v>
      </c>
      <c r="L19" s="44">
        <v>-29.147778030000001</v>
      </c>
      <c r="M19" s="44">
        <v>-4.5187954299999999</v>
      </c>
      <c r="N19" s="44">
        <v>-9.2159443799999998</v>
      </c>
      <c r="O19" s="44">
        <v>-10.38048916</v>
      </c>
      <c r="P19" s="44">
        <v>-16.5</v>
      </c>
      <c r="Q19" s="44">
        <v>-5.5495712899999994</v>
      </c>
      <c r="R19" s="44">
        <v>-6.9293658100000002</v>
      </c>
      <c r="S19" s="44">
        <v>-38.774170070000004</v>
      </c>
      <c r="T19" s="44">
        <v>-34.718472030000001</v>
      </c>
      <c r="U19" s="44">
        <v>-7.4512985600000015</v>
      </c>
      <c r="V19" s="44">
        <v>-8.1270384000000018</v>
      </c>
      <c r="W19" s="44">
        <v>-12.170216480000001</v>
      </c>
      <c r="X19" s="44">
        <v>-15.217228350000001</v>
      </c>
      <c r="Y19" s="44">
        <v>-7.642425229999998</v>
      </c>
      <c r="Z19" s="44">
        <v>-8.2504383900000011</v>
      </c>
      <c r="AA19" s="44">
        <v>-12.82375993</v>
      </c>
      <c r="AB19" s="44">
        <f>+-10.25707385-AB72</f>
        <v>-10.25332315</v>
      </c>
      <c r="AC19" s="44">
        <f>+-2.75986665-AC72</f>
        <v>-2.4879566200000003</v>
      </c>
      <c r="AD19" s="44">
        <f>+-13.18502617-AD72</f>
        <v>-12.817846660000001</v>
      </c>
      <c r="AE19" s="44">
        <v>-30.11858333</v>
      </c>
      <c r="AF19" s="44">
        <f>+-18.77742197-AF72</f>
        <v>-18.427504539999997</v>
      </c>
      <c r="AG19" s="44">
        <f>+-15.50763813-AG72</f>
        <v>-14.207638129999999</v>
      </c>
      <c r="AH19" s="44">
        <f>+-7.04974417-AH72</f>
        <v>-6.5616336200000003</v>
      </c>
      <c r="AI19" s="44">
        <f>+-8.86610442-AI72</f>
        <v>-8.8063862099999994</v>
      </c>
      <c r="AJ19" s="44">
        <f>+-22.67480489-AJ72</f>
        <v>-22.67467628</v>
      </c>
      <c r="AK19" s="44">
        <f>+-15.90505726-AK72</f>
        <v>-15.520190899999999</v>
      </c>
      <c r="AL19" s="53"/>
    </row>
    <row r="20" spans="2:38" x14ac:dyDescent="0.35">
      <c r="B20" s="5" t="s">
        <v>59</v>
      </c>
      <c r="C20" s="44">
        <v>-57.4</v>
      </c>
      <c r="D20" s="44">
        <v>-51.142680729999995</v>
      </c>
      <c r="E20" s="36">
        <f t="shared" si="0"/>
        <v>-0.10901253083623696</v>
      </c>
      <c r="H20" s="5" t="s">
        <v>59</v>
      </c>
      <c r="I20" s="44">
        <v>-143.05921096000003</v>
      </c>
      <c r="J20" s="44">
        <v>-115.28823815000001</v>
      </c>
      <c r="K20" s="44">
        <v>-64.623558400000007</v>
      </c>
      <c r="L20" s="44">
        <v>-18.6760698</v>
      </c>
      <c r="M20" s="44">
        <v>-95.077913459999991</v>
      </c>
      <c r="N20" s="44">
        <v>-96.246866560000015</v>
      </c>
      <c r="O20" s="44">
        <v>-48.765143299999998</v>
      </c>
      <c r="P20" s="44">
        <v>-11.3</v>
      </c>
      <c r="Q20" s="44">
        <v>-55.49246531</v>
      </c>
      <c r="R20" s="44">
        <v>-48.625604530000011</v>
      </c>
      <c r="S20" s="44">
        <v>-29.351692119999996</v>
      </c>
      <c r="T20" s="44">
        <v>-46.499171390000001</v>
      </c>
      <c r="U20" s="44">
        <v>-74.428830290000008</v>
      </c>
      <c r="V20" s="44">
        <v>-74.671550390000007</v>
      </c>
      <c r="W20" s="44">
        <v>-44.972191940000002</v>
      </c>
      <c r="X20" s="44">
        <v>-22.572275439999995</v>
      </c>
      <c r="Y20" s="44">
        <v>-81.834264469999994</v>
      </c>
      <c r="Z20" s="44">
        <v>-91.752166529999982</v>
      </c>
      <c r="AA20" s="44">
        <v>-63.272530880000005</v>
      </c>
      <c r="AB20" s="44">
        <f>+-51.49424782-AB73</f>
        <v>-26.208514819999998</v>
      </c>
      <c r="AC20" s="44">
        <f>+-103.54780074-AC73</f>
        <v>-83.935614360000002</v>
      </c>
      <c r="AD20" s="44">
        <f>+-95.37933399-AD73</f>
        <v>-79.202876680000003</v>
      </c>
      <c r="AE20" s="44">
        <v>-48.18053414000002</v>
      </c>
      <c r="AF20" s="44">
        <f>+-64.13887255-AF73</f>
        <v>-43.382659270000005</v>
      </c>
      <c r="AG20" s="44">
        <f>+-68.50728894-AG73</f>
        <v>-57.407288939999994</v>
      </c>
      <c r="AH20" s="44">
        <f>+-69.67391141-AH73</f>
        <v>-55.093791430000003</v>
      </c>
      <c r="AI20" s="44">
        <f>+-75.50659227-AI73</f>
        <v>-54.870246770000001</v>
      </c>
      <c r="AJ20" s="44">
        <f>+-31.72562505-AJ73</f>
        <v>-12.156151910000002</v>
      </c>
      <c r="AK20" s="44">
        <f>+-66.27092621-AK73</f>
        <v>-51.142680729999995</v>
      </c>
      <c r="AL20" s="53"/>
    </row>
    <row r="21" spans="2:38" x14ac:dyDescent="0.35">
      <c r="B21" s="5" t="s">
        <v>60</v>
      </c>
      <c r="C21" s="44">
        <v>-4.3</v>
      </c>
      <c r="D21" s="44">
        <v>-16.706890779999998</v>
      </c>
      <c r="E21" s="36">
        <f t="shared" si="0"/>
        <v>2.8853234372093022</v>
      </c>
      <c r="H21" s="5" t="s">
        <v>60</v>
      </c>
      <c r="I21" s="44">
        <v>-22.91047446</v>
      </c>
      <c r="J21" s="44">
        <v>-43.010705830000006</v>
      </c>
      <c r="K21" s="44">
        <v>-40.598616540000009</v>
      </c>
      <c r="L21" s="44">
        <v>-3.2749097999999996</v>
      </c>
      <c r="M21" s="44">
        <v>-22.496929869999999</v>
      </c>
      <c r="N21" s="44">
        <v>-18.099470910000001</v>
      </c>
      <c r="O21" s="44">
        <v>-1.5190404399999999</v>
      </c>
      <c r="P21" s="44">
        <v>-2</v>
      </c>
      <c r="Q21" s="44">
        <v>-2.0902260800000003</v>
      </c>
      <c r="R21" s="44">
        <v>-23.231005809999996</v>
      </c>
      <c r="S21" s="44">
        <v>-13.097372880000002</v>
      </c>
      <c r="T21" s="44">
        <v>-2.91121008</v>
      </c>
      <c r="U21" s="44">
        <v>-6.969882909999999</v>
      </c>
      <c r="V21" s="44">
        <v>-16.593912970000002</v>
      </c>
      <c r="W21" s="44">
        <v>-4.990396689999999</v>
      </c>
      <c r="X21" s="44">
        <v>-2.59113864</v>
      </c>
      <c r="Y21" s="44">
        <v>-3.0085850299999999</v>
      </c>
      <c r="Z21" s="44">
        <v>-4.8410693299999998</v>
      </c>
      <c r="AA21" s="44">
        <v>-3.6377084799999992</v>
      </c>
      <c r="AB21" s="44">
        <f>+-3.58230685-AB74</f>
        <v>-3.5823068500000002</v>
      </c>
      <c r="AC21" s="44">
        <f>+-9.14473538-AC74</f>
        <v>-9.1447353800000002</v>
      </c>
      <c r="AD21" s="44">
        <v>-2.1464366200000002</v>
      </c>
      <c r="AE21" s="44">
        <v>-0.41594635999999952</v>
      </c>
      <c r="AF21" s="44">
        <f>+-0.974576780847656-AF74</f>
        <v>-0.97457678084765598</v>
      </c>
      <c r="AG21" s="44">
        <f>+-4.29868093</f>
        <v>-4.2986809299999997</v>
      </c>
      <c r="AH21" s="44">
        <f>+-AH74-2.94319108</f>
        <v>-2.9431910800000001</v>
      </c>
      <c r="AI21" s="44">
        <v>-0.41815340000000006</v>
      </c>
      <c r="AJ21" s="44">
        <v>-1.86275127</v>
      </c>
      <c r="AK21" s="44">
        <v>-16.706890779999998</v>
      </c>
      <c r="AL21" s="53"/>
    </row>
    <row r="22" spans="2:38" x14ac:dyDescent="0.35">
      <c r="B22" s="5" t="s">
        <v>61</v>
      </c>
      <c r="C22" s="44">
        <v>-20.8</v>
      </c>
      <c r="D22" s="44">
        <v>-21.106550949999999</v>
      </c>
      <c r="E22" s="36">
        <f t="shared" si="0"/>
        <v>1.4738026442307595E-2</v>
      </c>
      <c r="H22" s="5" t="s">
        <v>61</v>
      </c>
      <c r="I22" s="44">
        <v>-23.41590613</v>
      </c>
      <c r="J22" s="44">
        <v>-25.471509249999997</v>
      </c>
      <c r="K22" s="44">
        <v>-24.229548649999998</v>
      </c>
      <c r="L22" s="44">
        <v>-19.288644770000001</v>
      </c>
      <c r="M22" s="44">
        <v>-26.610703540000006</v>
      </c>
      <c r="N22" s="44">
        <v>-22.176684440000002</v>
      </c>
      <c r="O22" s="44">
        <v>-20.448241290000002</v>
      </c>
      <c r="P22" s="44">
        <v>-8.4</v>
      </c>
      <c r="Q22" s="44">
        <v>-18.665973629999996</v>
      </c>
      <c r="R22" s="44">
        <v>-16.86084202</v>
      </c>
      <c r="S22" s="44">
        <v>-18.844166730000001</v>
      </c>
      <c r="T22" s="44">
        <v>-9.0097784399999981</v>
      </c>
      <c r="U22" s="44">
        <v>-18.267814120000004</v>
      </c>
      <c r="V22" s="44">
        <v>-19.587985530000005</v>
      </c>
      <c r="W22" s="44">
        <v>-21.775002570000002</v>
      </c>
      <c r="X22" s="44">
        <v>-14.182322660000001</v>
      </c>
      <c r="Y22" s="44">
        <v>-22.118387720000001</v>
      </c>
      <c r="Z22" s="44">
        <v>-22.376940360000003</v>
      </c>
      <c r="AA22" s="44">
        <v>-23.068639080000001</v>
      </c>
      <c r="AB22" s="44">
        <v>-19.234630080000002</v>
      </c>
      <c r="AC22" s="44">
        <v>-25.951997500000001</v>
      </c>
      <c r="AD22" s="44">
        <v>-25.329593030000002</v>
      </c>
      <c r="AE22" s="44">
        <v>-7.9583244999999962</v>
      </c>
      <c r="AF22" s="44">
        <v>-14.40621734</v>
      </c>
      <c r="AG22" s="44">
        <v>-20.795866490000002</v>
      </c>
      <c r="AH22" s="44">
        <v>-21.183902500000002</v>
      </c>
      <c r="AI22" s="44">
        <f>+-17.54565283-AI75</f>
        <v>-14.311844090000001</v>
      </c>
      <c r="AJ22" s="44">
        <f>+-10.82531167-AJ74</f>
        <v>-9.905931429999999</v>
      </c>
      <c r="AK22" s="44">
        <f>+-21.10655095-AK75</f>
        <v>-19.606550949999999</v>
      </c>
      <c r="AL22" s="53"/>
    </row>
    <row r="23" spans="2:38" x14ac:dyDescent="0.35">
      <c r="B23" s="5" t="s">
        <v>89</v>
      </c>
      <c r="C23" s="44">
        <v>-11.5</v>
      </c>
      <c r="D23" s="44">
        <v>-7.4010958800000024</v>
      </c>
      <c r="E23" s="36">
        <f t="shared" si="0"/>
        <v>-0.35642644521739109</v>
      </c>
      <c r="H23" s="5" t="s">
        <v>89</v>
      </c>
      <c r="I23" s="44">
        <v>-19.06721697</v>
      </c>
      <c r="J23" s="44">
        <v>-21.910840070000003</v>
      </c>
      <c r="K23" s="44">
        <v>-27.707132019999996</v>
      </c>
      <c r="L23" s="44">
        <v>-38.350595890000008</v>
      </c>
      <c r="M23" s="44">
        <v>-17.36380879</v>
      </c>
      <c r="N23" s="44">
        <v>-20.837634659999999</v>
      </c>
      <c r="O23" s="44">
        <v>-20.404946679999998</v>
      </c>
      <c r="P23" s="44">
        <v>-27.2</v>
      </c>
      <c r="Q23" s="44">
        <v>-16.163761940000001</v>
      </c>
      <c r="R23" s="44">
        <v>-18.221297059999998</v>
      </c>
      <c r="S23" s="44">
        <v>-18.850021900000002</v>
      </c>
      <c r="T23" s="44">
        <v>-14.534520140000001</v>
      </c>
      <c r="U23" s="44">
        <v>-19.276534640000001</v>
      </c>
      <c r="V23" s="44">
        <v>-20.162304949999999</v>
      </c>
      <c r="W23" s="44">
        <v>-24.425988220000001</v>
      </c>
      <c r="X23" s="44">
        <v>-28.84557053</v>
      </c>
      <c r="Y23" s="44">
        <v>-20.02226443</v>
      </c>
      <c r="Z23" s="44">
        <v>-22.141978789999996</v>
      </c>
      <c r="AA23" s="44">
        <v>-16.946930869999999</v>
      </c>
      <c r="AB23" s="44">
        <f>+-28.76885844-AB75</f>
        <v>-25.276053900000001</v>
      </c>
      <c r="AC23" s="44">
        <f>+-19.58196495-AC75</f>
        <v>-16.469341709999998</v>
      </c>
      <c r="AD23" s="44">
        <f>+-21.03649055-AD75</f>
        <v>-17.734178549999999</v>
      </c>
      <c r="AE23" s="44">
        <v>-16.571456010000002</v>
      </c>
      <c r="AF23" s="44">
        <f>+-23.46560624-AF75</f>
        <v>-20.113695880000002</v>
      </c>
      <c r="AG23" s="44">
        <f>+-18.4640756-AG75</f>
        <v>-15.67718996</v>
      </c>
      <c r="AH23" s="44">
        <f>+-22.84535634-AH75</f>
        <v>-20.310681789999997</v>
      </c>
      <c r="AI23" s="44">
        <v>-18.33861169</v>
      </c>
      <c r="AJ23" s="44">
        <f>+-24.00240708-AJ75</f>
        <v>-20.103875870000003</v>
      </c>
      <c r="AK23" s="44">
        <f>+-12.00200043-AK75</f>
        <v>-10.502000430000001</v>
      </c>
      <c r="AL23" s="53"/>
    </row>
    <row r="24" spans="2:38" x14ac:dyDescent="0.35">
      <c r="C24" s="33"/>
      <c r="D24" s="33"/>
      <c r="E24" s="40"/>
      <c r="I24" s="33"/>
      <c r="J24" s="33"/>
      <c r="K24" s="33"/>
      <c r="L24" s="33"/>
      <c r="M24" s="33"/>
      <c r="N24" s="33"/>
      <c r="O24" s="33"/>
      <c r="P24" s="33"/>
      <c r="Q24" s="33"/>
      <c r="R24" s="33"/>
      <c r="S24" s="33"/>
      <c r="T24" s="33"/>
      <c r="U24" s="33"/>
      <c r="V24" s="33"/>
      <c r="W24" s="33"/>
      <c r="X24" s="33"/>
      <c r="Y24" s="33"/>
      <c r="Z24" s="33"/>
      <c r="AA24" s="33"/>
      <c r="AB24" s="33"/>
      <c r="AC24" s="33"/>
      <c r="AD24" s="33"/>
      <c r="AE24" s="33"/>
      <c r="AF24" s="33"/>
      <c r="AG24" s="33"/>
      <c r="AH24" s="33"/>
      <c r="AI24" s="33"/>
      <c r="AJ24" s="33"/>
      <c r="AK24" s="33"/>
      <c r="AL24" s="53"/>
    </row>
    <row r="25" spans="2:38" x14ac:dyDescent="0.35">
      <c r="B25" s="2" t="s">
        <v>90</v>
      </c>
      <c r="C25" s="9">
        <f>C17+C10</f>
        <v>153.16807782999999</v>
      </c>
      <c r="D25" s="9">
        <f>D17+D10</f>
        <v>137.69151685945613</v>
      </c>
      <c r="E25" s="38">
        <f t="shared" si="0"/>
        <v>-0.10104299270322614</v>
      </c>
      <c r="H25" s="2" t="s">
        <v>90</v>
      </c>
      <c r="I25" s="9">
        <f t="shared" ref="I25:AE25" si="5">I17+I10</f>
        <v>137.89374637000003</v>
      </c>
      <c r="J25" s="9">
        <f t="shared" si="5"/>
        <v>162.44525369000002</v>
      </c>
      <c r="K25" s="9">
        <f t="shared" si="5"/>
        <v>137.48338611999998</v>
      </c>
      <c r="L25" s="9">
        <f t="shared" si="5"/>
        <v>181.04590640999999</v>
      </c>
      <c r="M25" s="9">
        <f t="shared" si="5"/>
        <v>111.84702719000003</v>
      </c>
      <c r="N25" s="9">
        <f t="shared" si="5"/>
        <v>157.19356322000004</v>
      </c>
      <c r="O25" s="9">
        <f t="shared" si="5"/>
        <v>200.96953452999998</v>
      </c>
      <c r="P25" s="9">
        <f t="shared" si="5"/>
        <v>196.5</v>
      </c>
      <c r="Q25" s="9">
        <f t="shared" si="5"/>
        <v>174.20261859999999</v>
      </c>
      <c r="R25" s="9">
        <f t="shared" si="5"/>
        <v>165.02881524999998</v>
      </c>
      <c r="S25" s="9">
        <f t="shared" si="5"/>
        <v>130.51520865999996</v>
      </c>
      <c r="T25" s="9">
        <f t="shared" si="5"/>
        <v>169.52104676999997</v>
      </c>
      <c r="U25" s="9">
        <f t="shared" si="5"/>
        <v>167.14281708999997</v>
      </c>
      <c r="V25" s="9">
        <f t="shared" si="5"/>
        <v>170.80365676000002</v>
      </c>
      <c r="W25" s="9">
        <f t="shared" si="5"/>
        <v>185.34389436999996</v>
      </c>
      <c r="X25" s="9">
        <f t="shared" si="5"/>
        <v>217.99880021000004</v>
      </c>
      <c r="Y25" s="9">
        <f t="shared" si="5"/>
        <v>180.10621122000003</v>
      </c>
      <c r="Z25" s="9">
        <f t="shared" si="5"/>
        <v>167.37775774000008</v>
      </c>
      <c r="AA25" s="9">
        <f t="shared" si="5"/>
        <v>173.78870720000003</v>
      </c>
      <c r="AB25" s="9">
        <f t="shared" si="5"/>
        <v>230.59628267000002</v>
      </c>
      <c r="AC25" s="9">
        <f t="shared" si="5"/>
        <v>170.62513011000001</v>
      </c>
      <c r="AD25" s="9">
        <f t="shared" si="5"/>
        <v>178.36596232000002</v>
      </c>
      <c r="AE25" s="9">
        <f t="shared" si="5"/>
        <v>183.58786783000005</v>
      </c>
      <c r="AF25" s="9">
        <f t="shared" ref="AF25:AJ25" si="6">AF17+AF10</f>
        <v>187.48957726131368</v>
      </c>
      <c r="AG25" s="9">
        <f t="shared" si="6"/>
        <v>171.69149839000005</v>
      </c>
      <c r="AH25" s="9">
        <f t="shared" si="6"/>
        <v>161.24044121999998</v>
      </c>
      <c r="AI25" s="9">
        <f t="shared" si="6"/>
        <v>179.10948660999998</v>
      </c>
      <c r="AJ25" s="9">
        <f t="shared" si="6"/>
        <v>188.01667729907101</v>
      </c>
      <c r="AK25" s="9">
        <f>AK17+AK10</f>
        <v>153.3117141594561</v>
      </c>
      <c r="AL25" s="53"/>
    </row>
    <row r="26" spans="2:38" x14ac:dyDescent="0.35">
      <c r="C26" s="33"/>
      <c r="D26" s="33"/>
      <c r="E26" s="40"/>
      <c r="I26" s="33"/>
      <c r="J26" s="33"/>
      <c r="K26" s="33"/>
      <c r="L26" s="33"/>
      <c r="M26" s="33"/>
      <c r="N26" s="33"/>
      <c r="O26" s="33"/>
      <c r="P26" s="33"/>
      <c r="Q26" s="33"/>
      <c r="R26" s="33"/>
      <c r="S26" s="33"/>
      <c r="T26" s="33"/>
      <c r="U26" s="33"/>
      <c r="V26" s="33"/>
      <c r="W26" s="33"/>
      <c r="X26" s="33"/>
      <c r="Y26" s="33"/>
      <c r="Z26" s="33"/>
      <c r="AA26" s="33"/>
      <c r="AB26" s="33"/>
      <c r="AC26" s="33"/>
      <c r="AD26" s="33"/>
      <c r="AE26" s="33"/>
      <c r="AF26" s="33"/>
      <c r="AG26" s="33"/>
      <c r="AH26" s="33"/>
      <c r="AI26" s="33"/>
      <c r="AJ26" s="33"/>
      <c r="AK26" s="33"/>
      <c r="AL26" s="53"/>
    </row>
    <row r="27" spans="2:38" x14ac:dyDescent="0.35">
      <c r="B27" s="5" t="s">
        <v>64</v>
      </c>
      <c r="C27" s="44">
        <v>-13.6</v>
      </c>
      <c r="D27" s="44">
        <v>-19.428022205786256</v>
      </c>
      <c r="E27" s="36">
        <f t="shared" si="0"/>
        <v>0.4285310445431072</v>
      </c>
      <c r="H27" s="5" t="s">
        <v>64</v>
      </c>
      <c r="I27" s="44">
        <v>-13.511288560000001</v>
      </c>
      <c r="J27" s="44">
        <v>-15.730694790000001</v>
      </c>
      <c r="K27" s="44">
        <v>-14.94375202</v>
      </c>
      <c r="L27" s="44">
        <v>-15.521342820000001</v>
      </c>
      <c r="M27" s="44">
        <v>-13.954037509999999</v>
      </c>
      <c r="N27" s="44">
        <v>-14.80528035</v>
      </c>
      <c r="O27" s="44">
        <v>-13.73918705</v>
      </c>
      <c r="P27" s="44">
        <v>-13.4</v>
      </c>
      <c r="Q27" s="44">
        <v>-14.19469086</v>
      </c>
      <c r="R27" s="44">
        <v>-15.02867498</v>
      </c>
      <c r="S27" s="44">
        <v>-16.110477190000001</v>
      </c>
      <c r="T27" s="44">
        <v>-16.584576090000002</v>
      </c>
      <c r="U27" s="44">
        <v>-15.693575970000001</v>
      </c>
      <c r="V27" s="44">
        <v>-16.256828450000004</v>
      </c>
      <c r="W27" s="44">
        <v>-17.746854899999999</v>
      </c>
      <c r="X27" s="44">
        <v>-21.240113520000001</v>
      </c>
      <c r="Y27" s="44">
        <v>-19.39190297</v>
      </c>
      <c r="Z27" s="44">
        <v>-18.475289360000001</v>
      </c>
      <c r="AA27" s="44">
        <v>-17.7550566</v>
      </c>
      <c r="AB27" s="44">
        <f>+-19.52008206-AB79</f>
        <v>-18.015688310000002</v>
      </c>
      <c r="AC27" s="44">
        <f>+-18.14563445-AC79</f>
        <v>-16.681628180000001</v>
      </c>
      <c r="AD27" s="44">
        <v>-17.086857370000001</v>
      </c>
      <c r="AE27" s="44">
        <v>-16.935537579999995</v>
      </c>
      <c r="AF27" s="44">
        <v>-17.459000799999998</v>
      </c>
      <c r="AG27" s="44">
        <f>+-15.10311077-AG79</f>
        <v>-13.62732965</v>
      </c>
      <c r="AH27" s="44">
        <f>+-15.96317607-AH79</f>
        <v>-14.437053499999999</v>
      </c>
      <c r="AI27" s="44">
        <f>+-16.54621755-AI79</f>
        <v>-15.012555730000001</v>
      </c>
      <c r="AJ27" s="44">
        <f>+-17.7444132051426-AJ79</f>
        <v>-16.2179583251426</v>
      </c>
      <c r="AK27" s="44">
        <f>+-21.2684943257862-AK79</f>
        <v>-19.428022205786199</v>
      </c>
      <c r="AL27" s="53"/>
    </row>
    <row r="28" spans="2:38" x14ac:dyDescent="0.35">
      <c r="B28" s="5" t="s">
        <v>91</v>
      </c>
      <c r="C28" s="44">
        <v>-5.3</v>
      </c>
      <c r="D28" s="44">
        <v>-14.338049071244358</v>
      </c>
      <c r="E28" s="36">
        <f t="shared" si="0"/>
        <v>1.7052922775932751</v>
      </c>
      <c r="H28" s="5" t="s">
        <v>91</v>
      </c>
      <c r="I28" s="44">
        <v>-4.6297593400000006</v>
      </c>
      <c r="J28" s="44">
        <v>-5.884523660000001</v>
      </c>
      <c r="K28" s="44">
        <v>-5.5682920600000001</v>
      </c>
      <c r="L28" s="44">
        <v>-6.5220293500000004</v>
      </c>
      <c r="M28" s="44">
        <v>-5.1150877699999997</v>
      </c>
      <c r="N28" s="44">
        <v>-6.0219605700000001</v>
      </c>
      <c r="O28" s="44">
        <v>-6.3402090600000003</v>
      </c>
      <c r="P28" s="44">
        <v>-11</v>
      </c>
      <c r="Q28" s="44">
        <v>-6.5020823799999965</v>
      </c>
      <c r="R28" s="44">
        <v>-8.009772479999997</v>
      </c>
      <c r="S28" s="44">
        <v>-7.9525749999999995</v>
      </c>
      <c r="T28" s="44">
        <v>-9.1727891499999981</v>
      </c>
      <c r="U28" s="44">
        <v>-8.0615386299999994</v>
      </c>
      <c r="V28" s="44">
        <v>-6.9816923099999997</v>
      </c>
      <c r="W28" s="44">
        <v>-7.0422980900000001</v>
      </c>
      <c r="X28" s="44">
        <v>-9.7220474300000017</v>
      </c>
      <c r="Y28" s="44">
        <v>-7.0583630999999993</v>
      </c>
      <c r="Z28" s="44">
        <v>-7.2230401099999986</v>
      </c>
      <c r="AA28" s="44">
        <v>-7.0517470699999993</v>
      </c>
      <c r="AB28" s="44">
        <f>+-10.4942574-AB80</f>
        <v>-9.1196006500000006</v>
      </c>
      <c r="AC28" s="44">
        <f>+-5.57047109-AC80</f>
        <v>-5.0442705099999996</v>
      </c>
      <c r="AD28" s="44">
        <v>-5.9828553699999993</v>
      </c>
      <c r="AE28" s="44">
        <v>-3.9182373899999976</v>
      </c>
      <c r="AF28" s="44">
        <v>-6.08522447</v>
      </c>
      <c r="AG28" s="44">
        <f>+-6.03616536-AG80</f>
        <v>-5.4533290799999996</v>
      </c>
      <c r="AH28" s="44">
        <f>+-4.98063144-AH80</f>
        <v>-5.0656664600000001</v>
      </c>
      <c r="AI28" s="44">
        <f>+-5.29200337-AI80</f>
        <v>-4.7672706599999994</v>
      </c>
      <c r="AJ28" s="44">
        <f>+-8.86662309606035-AJ80</f>
        <v>-8.1298155560603504</v>
      </c>
      <c r="AK28" s="44">
        <f>+-13.7149330412444-AK80</f>
        <v>-11.9634325012444</v>
      </c>
      <c r="AL28" s="53"/>
    </row>
    <row r="29" spans="2:38" x14ac:dyDescent="0.35">
      <c r="B29" s="5" t="s">
        <v>66</v>
      </c>
      <c r="C29" s="44">
        <v>-46.7</v>
      </c>
      <c r="D29" s="44">
        <v>-43.711709362953407</v>
      </c>
      <c r="E29" s="36">
        <f t="shared" si="0"/>
        <v>-6.3989092870376796E-2</v>
      </c>
      <c r="H29" s="5" t="s">
        <v>66</v>
      </c>
      <c r="I29" s="44">
        <v>-41.951805570000005</v>
      </c>
      <c r="J29" s="44">
        <v>-46.185509760000002</v>
      </c>
      <c r="K29" s="44">
        <v>-46.341475529999997</v>
      </c>
      <c r="L29" s="44">
        <v>-47.895657579999998</v>
      </c>
      <c r="M29" s="44">
        <v>-47.45246057</v>
      </c>
      <c r="N29" s="44">
        <v>-48.384940369999995</v>
      </c>
      <c r="O29" s="44">
        <v>-48.861872340000005</v>
      </c>
      <c r="P29" s="44">
        <v>-49</v>
      </c>
      <c r="Q29" s="44">
        <v>-47.859028649999999</v>
      </c>
      <c r="R29" s="44">
        <v>-47.103709719999998</v>
      </c>
      <c r="S29" s="44">
        <v>-49.023684110000005</v>
      </c>
      <c r="T29" s="44">
        <v>-52.043309690000001</v>
      </c>
      <c r="U29" s="44">
        <v>-51.537491310000007</v>
      </c>
      <c r="V29" s="44">
        <v>-52.338320930000002</v>
      </c>
      <c r="W29" s="44">
        <v>-51.70911498000001</v>
      </c>
      <c r="X29" s="44">
        <v>-35.670721700000001</v>
      </c>
      <c r="Y29" s="44">
        <v>-50.468340229999995</v>
      </c>
      <c r="Z29" s="44">
        <v>-50.577710360000012</v>
      </c>
      <c r="AA29" s="44">
        <v>-51.21465688</v>
      </c>
      <c r="AB29" s="44">
        <f>+-60.0190398-AB81</f>
        <v>-51.431602030000001</v>
      </c>
      <c r="AC29" s="44">
        <f>+-62.31854023-AC81</f>
        <v>-51.456948539999999</v>
      </c>
      <c r="AD29" s="44">
        <v>-52.281024099999996</v>
      </c>
      <c r="AE29" s="44">
        <v>-52.09153554000001</v>
      </c>
      <c r="AF29" s="44">
        <v>-48.783084410000029</v>
      </c>
      <c r="AG29" s="44">
        <f>+-60.57309273-AG81</f>
        <v>-49.354015410000002</v>
      </c>
      <c r="AH29" s="44">
        <f>+-60.98348462-AH81</f>
        <v>-49.504984109999995</v>
      </c>
      <c r="AI29" s="44">
        <f>+-62.10269554-AI81</f>
        <v>-49.919730049999998</v>
      </c>
      <c r="AJ29" s="44">
        <f>+-62.95540184-AJ81</f>
        <v>-51.263780879999999</v>
      </c>
      <c r="AK29" s="44">
        <f>+-55.4260933129534-AK81</f>
        <v>-46.478154362953397</v>
      </c>
      <c r="AL29" s="53"/>
    </row>
    <row r="30" spans="2:38" x14ac:dyDescent="0.35">
      <c r="C30" s="33"/>
      <c r="D30" s="33"/>
      <c r="E30" s="40"/>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53"/>
    </row>
    <row r="31" spans="2:38" x14ac:dyDescent="0.35">
      <c r="B31" s="2" t="s">
        <v>92</v>
      </c>
      <c r="C31" s="9">
        <f t="shared" ref="C31:D31" si="7">C25+C27+C28+C29</f>
        <v>87.568077829999979</v>
      </c>
      <c r="D31" s="9">
        <f t="shared" si="7"/>
        <v>60.213736219472118</v>
      </c>
      <c r="E31" s="38">
        <f t="shared" si="0"/>
        <v>-0.3123780067849854</v>
      </c>
      <c r="H31" s="2" t="s">
        <v>92</v>
      </c>
      <c r="I31" s="9">
        <f t="shared" ref="I31:AE31" si="8">I25+I27+I28+I29</f>
        <v>77.800892900000022</v>
      </c>
      <c r="J31" s="9">
        <f t="shared" si="8"/>
        <v>94.644525479999999</v>
      </c>
      <c r="K31" s="9">
        <f t="shared" si="8"/>
        <v>70.629866509999971</v>
      </c>
      <c r="L31" s="9">
        <f t="shared" si="8"/>
        <v>111.10687665999998</v>
      </c>
      <c r="M31" s="9">
        <f t="shared" si="8"/>
        <v>45.325441340000026</v>
      </c>
      <c r="N31" s="9">
        <f t="shared" si="8"/>
        <v>87.98138193000004</v>
      </c>
      <c r="O31" s="9">
        <f t="shared" si="8"/>
        <v>132.02826607999998</v>
      </c>
      <c r="P31" s="9">
        <f t="shared" si="8"/>
        <v>123.1</v>
      </c>
      <c r="Q31" s="9">
        <f t="shared" si="8"/>
        <v>105.64681671</v>
      </c>
      <c r="R31" s="9">
        <f t="shared" si="8"/>
        <v>94.886658069999967</v>
      </c>
      <c r="S31" s="9">
        <f t="shared" si="8"/>
        <v>57.428472359999958</v>
      </c>
      <c r="T31" s="9">
        <f t="shared" si="8"/>
        <v>91.720371839999956</v>
      </c>
      <c r="U31" s="9">
        <f t="shared" si="8"/>
        <v>91.850211179999945</v>
      </c>
      <c r="V31" s="9">
        <f t="shared" si="8"/>
        <v>95.226815070000015</v>
      </c>
      <c r="W31" s="9">
        <f t="shared" si="8"/>
        <v>108.84562639999996</v>
      </c>
      <c r="X31" s="9">
        <f t="shared" si="8"/>
        <v>151.36591756000004</v>
      </c>
      <c r="Y31" s="9">
        <f t="shared" si="8"/>
        <v>103.18760492000004</v>
      </c>
      <c r="Z31" s="9">
        <f t="shared" si="8"/>
        <v>91.101717910000062</v>
      </c>
      <c r="AA31" s="9">
        <f t="shared" si="8"/>
        <v>97.767246650000033</v>
      </c>
      <c r="AB31" s="9">
        <f t="shared" si="8"/>
        <v>152.02939168000003</v>
      </c>
      <c r="AC31" s="9">
        <f t="shared" si="8"/>
        <v>97.442282880000036</v>
      </c>
      <c r="AD31" s="9">
        <f t="shared" si="8"/>
        <v>103.01522548000003</v>
      </c>
      <c r="AE31" s="9">
        <f t="shared" si="8"/>
        <v>110.64255732000005</v>
      </c>
      <c r="AF31" s="9">
        <f>AF25+AF27+AF28+AF29</f>
        <v>115.16226758131363</v>
      </c>
      <c r="AG31" s="9">
        <f t="shared" ref="AG31:AK31" si="9">AG25+AG27+AG28+AG29</f>
        <v>103.25682425000004</v>
      </c>
      <c r="AH31" s="9">
        <f t="shared" si="9"/>
        <v>92.232737150000005</v>
      </c>
      <c r="AI31" s="9">
        <f t="shared" si="9"/>
        <v>109.40993016999997</v>
      </c>
      <c r="AJ31" s="9">
        <f t="shared" si="9"/>
        <v>112.40512253786805</v>
      </c>
      <c r="AK31" s="9">
        <f t="shared" si="9"/>
        <v>75.442105089472108</v>
      </c>
      <c r="AL31" s="53"/>
    </row>
    <row r="32" spans="2:38" x14ac:dyDescent="0.35">
      <c r="B32" s="41"/>
      <c r="C32" s="42"/>
      <c r="D32" s="42"/>
      <c r="E32" s="43"/>
      <c r="H32" s="41"/>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53"/>
    </row>
    <row r="33" spans="1:38" x14ac:dyDescent="0.35">
      <c r="B33" s="2" t="s">
        <v>68</v>
      </c>
      <c r="C33" s="9">
        <f t="shared" ref="C33" si="10">C31-C29</f>
        <v>134.26807782999998</v>
      </c>
      <c r="D33" s="9">
        <f>D31-D29</f>
        <v>103.92544558242552</v>
      </c>
      <c r="E33" s="38">
        <f t="shared" si="0"/>
        <v>-0.22598545192545316</v>
      </c>
      <c r="F33" s="90"/>
      <c r="H33" s="2" t="s">
        <v>68</v>
      </c>
      <c r="I33" s="9">
        <f t="shared" ref="I33:AE33" si="11">I31-I29</f>
        <v>119.75269847000003</v>
      </c>
      <c r="J33" s="9">
        <f t="shared" si="11"/>
        <v>140.83003524</v>
      </c>
      <c r="K33" s="9">
        <f t="shared" si="11"/>
        <v>116.97134203999997</v>
      </c>
      <c r="L33" s="9">
        <f t="shared" si="11"/>
        <v>159.00253423999999</v>
      </c>
      <c r="M33" s="9">
        <f t="shared" si="11"/>
        <v>92.777901910000026</v>
      </c>
      <c r="N33" s="9">
        <f t="shared" si="11"/>
        <v>136.36632230000004</v>
      </c>
      <c r="O33" s="9">
        <f t="shared" si="11"/>
        <v>180.89013841999997</v>
      </c>
      <c r="P33" s="9">
        <f t="shared" si="11"/>
        <v>172.1</v>
      </c>
      <c r="Q33" s="9">
        <f t="shared" si="11"/>
        <v>153.50584536</v>
      </c>
      <c r="R33" s="9">
        <f t="shared" si="11"/>
        <v>141.99036778999996</v>
      </c>
      <c r="S33" s="9">
        <f t="shared" si="11"/>
        <v>106.45215646999996</v>
      </c>
      <c r="T33" s="9">
        <f t="shared" si="11"/>
        <v>143.76368152999996</v>
      </c>
      <c r="U33" s="9">
        <f t="shared" si="11"/>
        <v>143.38770248999995</v>
      </c>
      <c r="V33" s="9">
        <f t="shared" si="11"/>
        <v>147.56513600000002</v>
      </c>
      <c r="W33" s="9">
        <f t="shared" si="11"/>
        <v>160.55474137999997</v>
      </c>
      <c r="X33" s="9">
        <f t="shared" si="11"/>
        <v>187.03663926000004</v>
      </c>
      <c r="Y33" s="9">
        <f t="shared" si="11"/>
        <v>153.65594515000004</v>
      </c>
      <c r="Z33" s="9">
        <f t="shared" si="11"/>
        <v>141.67942827000007</v>
      </c>
      <c r="AA33" s="9">
        <f t="shared" si="11"/>
        <v>148.98190353000004</v>
      </c>
      <c r="AB33" s="9">
        <f t="shared" si="11"/>
        <v>203.46099371000003</v>
      </c>
      <c r="AC33" s="9">
        <f t="shared" si="11"/>
        <v>148.89923142000004</v>
      </c>
      <c r="AD33" s="9">
        <f t="shared" si="11"/>
        <v>155.29624958000002</v>
      </c>
      <c r="AE33" s="9">
        <f t="shared" si="11"/>
        <v>162.73409286000006</v>
      </c>
      <c r="AF33" s="9">
        <f>AF31-AF29</f>
        <v>163.94535199131366</v>
      </c>
      <c r="AG33" s="9">
        <f>172.34723633-AG85</f>
        <v>152.61083965999998</v>
      </c>
      <c r="AH33" s="9">
        <f>155.26443032-AH85</f>
        <v>141.73772126</v>
      </c>
      <c r="AI33" s="9">
        <f>174.98602269-AI85</f>
        <v>159.32966021999999</v>
      </c>
      <c r="AJ33" s="9">
        <f>AJ31-AJ29</f>
        <v>163.66890341786805</v>
      </c>
      <c r="AK33" s="9">
        <f>137.354311322426-AK85</f>
        <v>120.42025945242602</v>
      </c>
      <c r="AL33" s="53"/>
    </row>
    <row r="35" spans="1:38" ht="23.4" x14ac:dyDescent="0.45">
      <c r="B35" s="12" t="s">
        <v>93</v>
      </c>
      <c r="C35" s="13"/>
      <c r="D35" s="13"/>
      <c r="E35" s="13"/>
      <c r="AJ35" s="53"/>
      <c r="AK35" s="53"/>
    </row>
    <row r="37" spans="1:38" x14ac:dyDescent="0.35">
      <c r="A37" s="1">
        <v>1</v>
      </c>
      <c r="B37" s="3" t="s">
        <v>84</v>
      </c>
      <c r="C37" s="99" t="s">
        <v>128</v>
      </c>
      <c r="D37" s="99" t="s">
        <v>143</v>
      </c>
      <c r="E37" s="99" t="s">
        <v>83</v>
      </c>
      <c r="AL37" s="54"/>
    </row>
    <row r="38" spans="1:38" x14ac:dyDescent="0.35">
      <c r="A38" s="1">
        <v>2</v>
      </c>
      <c r="B38" s="3" t="s">
        <v>52</v>
      </c>
      <c r="C38" s="99"/>
      <c r="D38" s="99"/>
      <c r="E38" s="99"/>
    </row>
    <row r="39" spans="1:38" ht="6.75" customHeight="1" x14ac:dyDescent="0.35">
      <c r="A39" s="1">
        <v>3</v>
      </c>
    </row>
    <row r="40" spans="1:38" x14ac:dyDescent="0.35">
      <c r="A40" s="1">
        <v>4</v>
      </c>
      <c r="B40" s="2" t="s">
        <v>84</v>
      </c>
      <c r="C40" s="9">
        <f>SUM(C41:C42)</f>
        <v>22.660980600000002</v>
      </c>
      <c r="D40" s="9">
        <f>SUM(D41:D42)</f>
        <v>19.25758098</v>
      </c>
      <c r="E40" s="38">
        <f t="shared" ref="E40:E55" si="12">D40/C40-1</f>
        <v>-0.15018765869293416</v>
      </c>
    </row>
    <row r="41" spans="1:38" x14ac:dyDescent="0.35">
      <c r="A41" s="1">
        <v>8</v>
      </c>
      <c r="B41" s="5" t="s">
        <v>57</v>
      </c>
      <c r="C41" s="7">
        <v>22.660980600000002</v>
      </c>
      <c r="D41" s="7">
        <v>19.25758098</v>
      </c>
      <c r="E41" s="36">
        <f t="shared" si="12"/>
        <v>-0.15018765869293416</v>
      </c>
    </row>
    <row r="42" spans="1:38" x14ac:dyDescent="0.35">
      <c r="A42" s="1">
        <v>9</v>
      </c>
      <c r="B42" s="5" t="s">
        <v>55</v>
      </c>
      <c r="C42" s="85" t="s">
        <v>44</v>
      </c>
      <c r="D42" s="86" t="s">
        <v>44</v>
      </c>
      <c r="E42" s="49" t="s">
        <v>44</v>
      </c>
    </row>
    <row r="43" spans="1:38" ht="5.25" customHeight="1" x14ac:dyDescent="0.35">
      <c r="A43" s="1">
        <v>10</v>
      </c>
      <c r="C43" s="33"/>
      <c r="D43" s="33"/>
      <c r="E43" s="40"/>
    </row>
    <row r="44" spans="1:38" x14ac:dyDescent="0.35">
      <c r="A44" s="1">
        <v>11</v>
      </c>
      <c r="B44" s="2" t="s">
        <v>88</v>
      </c>
      <c r="C44" s="9">
        <f>SUM(C45:C46)</f>
        <v>-4.1296956799999993</v>
      </c>
      <c r="D44" s="9">
        <f>SUM(D45:D46)</f>
        <v>-0.96652662000000011</v>
      </c>
      <c r="E44" s="38">
        <f t="shared" si="12"/>
        <v>-0.76595693850254842</v>
      </c>
    </row>
    <row r="45" spans="1:38" x14ac:dyDescent="0.35">
      <c r="A45" s="1">
        <v>12</v>
      </c>
      <c r="B45" s="5" t="s">
        <v>57</v>
      </c>
      <c r="C45" s="44">
        <v>2.0968070000000005E-2</v>
      </c>
      <c r="D45" s="44">
        <v>1E-56</v>
      </c>
      <c r="E45" s="49">
        <v>-0.37447780999999991</v>
      </c>
    </row>
    <row r="46" spans="1:38" x14ac:dyDescent="0.35">
      <c r="A46" s="1">
        <v>17</v>
      </c>
      <c r="B46" s="5" t="s">
        <v>89</v>
      </c>
      <c r="C46" s="44">
        <v>-4.1506637499999997</v>
      </c>
      <c r="D46" s="44">
        <v>-0.96652662000000011</v>
      </c>
      <c r="E46" s="49">
        <f t="shared" si="12"/>
        <v>-0.76713926296727841</v>
      </c>
    </row>
    <row r="47" spans="1:38" ht="5.25" customHeight="1" x14ac:dyDescent="0.35">
      <c r="A47" s="1">
        <v>18</v>
      </c>
      <c r="C47" s="33"/>
      <c r="D47" s="33"/>
      <c r="E47" s="40"/>
    </row>
    <row r="48" spans="1:38" x14ac:dyDescent="0.35">
      <c r="A48" s="1">
        <v>19</v>
      </c>
      <c r="B48" s="2" t="s">
        <v>90</v>
      </c>
      <c r="C48" s="9">
        <f>C44+C40</f>
        <v>18.531284920000004</v>
      </c>
      <c r="D48" s="9">
        <f>D44+D40</f>
        <v>18.29105436</v>
      </c>
      <c r="E48" s="38">
        <f t="shared" si="12"/>
        <v>-1.2963513379513847E-2</v>
      </c>
    </row>
    <row r="49" spans="1:37" ht="5.25" customHeight="1" x14ac:dyDescent="0.35">
      <c r="A49" s="1">
        <v>20</v>
      </c>
      <c r="C49" s="33"/>
      <c r="D49" s="33"/>
      <c r="E49" s="40"/>
    </row>
    <row r="50" spans="1:37" x14ac:dyDescent="0.35">
      <c r="A50" s="1">
        <v>22</v>
      </c>
      <c r="B50" s="5" t="s">
        <v>91</v>
      </c>
      <c r="C50" s="44">
        <v>-0.19435286999999998</v>
      </c>
      <c r="D50" s="44">
        <v>-1.7714032599999998</v>
      </c>
      <c r="E50" s="36">
        <f t="shared" si="12"/>
        <v>8.1143663584695194</v>
      </c>
    </row>
    <row r="51" spans="1:37" x14ac:dyDescent="0.35">
      <c r="A51" s="1">
        <v>23</v>
      </c>
      <c r="B51" s="5" t="s">
        <v>66</v>
      </c>
      <c r="C51" s="44">
        <v>-2.6967943500000002</v>
      </c>
      <c r="D51" s="44">
        <v>-2.766445</v>
      </c>
      <c r="E51" s="36">
        <f t="shared" si="12"/>
        <v>2.582720109896397E-2</v>
      </c>
    </row>
    <row r="52" spans="1:37" ht="5.25" customHeight="1" x14ac:dyDescent="0.35">
      <c r="A52" s="1">
        <v>24</v>
      </c>
      <c r="C52" s="33"/>
      <c r="D52" s="33"/>
      <c r="E52" s="40"/>
    </row>
    <row r="53" spans="1:37" x14ac:dyDescent="0.35">
      <c r="A53" s="1">
        <v>25</v>
      </c>
      <c r="B53" s="2" t="s">
        <v>92</v>
      </c>
      <c r="C53" s="9">
        <f>C48+C50+C51</f>
        <v>15.640137700000004</v>
      </c>
      <c r="D53" s="9">
        <f>D48++D50+D51</f>
        <v>13.7532061</v>
      </c>
      <c r="E53" s="38">
        <f t="shared" si="12"/>
        <v>-0.12064673829566119</v>
      </c>
    </row>
    <row r="54" spans="1:37" ht="5.25" customHeight="1" x14ac:dyDescent="0.35">
      <c r="A54" s="1">
        <v>26</v>
      </c>
      <c r="B54" s="41"/>
      <c r="C54" s="42"/>
      <c r="D54" s="42"/>
      <c r="E54" s="43"/>
    </row>
    <row r="55" spans="1:37" x14ac:dyDescent="0.35">
      <c r="A55" s="1">
        <v>27</v>
      </c>
      <c r="B55" s="2" t="s">
        <v>68</v>
      </c>
      <c r="C55" s="9">
        <f t="shared" ref="C55:D55" si="13">C53-C51</f>
        <v>18.336932050000005</v>
      </c>
      <c r="D55" s="9">
        <f t="shared" si="13"/>
        <v>16.519651100000001</v>
      </c>
      <c r="E55" s="38">
        <f t="shared" si="12"/>
        <v>-9.9104961781215972E-2</v>
      </c>
    </row>
    <row r="56" spans="1:37" ht="28.5" customHeight="1" x14ac:dyDescent="0.35"/>
    <row r="57" spans="1:37" ht="28.5" customHeight="1" x14ac:dyDescent="0.35"/>
    <row r="58" spans="1:37" ht="23.4" x14ac:dyDescent="0.45">
      <c r="B58" s="12" t="s">
        <v>46</v>
      </c>
      <c r="C58" s="13"/>
      <c r="D58" s="13"/>
      <c r="E58" s="13"/>
      <c r="H58" s="12" t="s">
        <v>46</v>
      </c>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row>
    <row r="59" spans="1:37" ht="9" customHeight="1" x14ac:dyDescent="0.35"/>
    <row r="60" spans="1:37" x14ac:dyDescent="0.35">
      <c r="A60" s="1">
        <v>1</v>
      </c>
      <c r="B60" s="3" t="s">
        <v>84</v>
      </c>
      <c r="C60" s="99" t="s">
        <v>128</v>
      </c>
      <c r="D60" s="99" t="s">
        <v>143</v>
      </c>
      <c r="E60" s="99" t="s">
        <v>83</v>
      </c>
      <c r="H60" s="3" t="s">
        <v>82</v>
      </c>
      <c r="I60" s="99" t="s">
        <v>6</v>
      </c>
      <c r="J60" s="99" t="s">
        <v>7</v>
      </c>
      <c r="K60" s="99" t="s">
        <v>8</v>
      </c>
      <c r="L60" s="99" t="s">
        <v>9</v>
      </c>
      <c r="M60" s="99" t="s">
        <v>10</v>
      </c>
      <c r="N60" s="99" t="s">
        <v>11</v>
      </c>
      <c r="O60" s="99" t="s">
        <v>12</v>
      </c>
      <c r="P60" s="99" t="s">
        <v>13</v>
      </c>
      <c r="Q60" s="99" t="s">
        <v>14</v>
      </c>
      <c r="R60" s="99" t="s">
        <v>15</v>
      </c>
      <c r="S60" s="99" t="s">
        <v>16</v>
      </c>
      <c r="T60" s="99" t="s">
        <v>17</v>
      </c>
      <c r="U60" s="99" t="s">
        <v>18</v>
      </c>
      <c r="V60" s="99" t="s">
        <v>19</v>
      </c>
      <c r="W60" s="99" t="s">
        <v>20</v>
      </c>
      <c r="X60" s="99" t="s">
        <v>21</v>
      </c>
      <c r="Y60" s="99" t="s">
        <v>22</v>
      </c>
      <c r="Z60" s="99" t="s">
        <v>23</v>
      </c>
      <c r="AA60" s="99" t="s">
        <v>24</v>
      </c>
      <c r="AB60" s="99" t="s">
        <v>2</v>
      </c>
      <c r="AC60" s="99" t="s">
        <v>25</v>
      </c>
      <c r="AD60" s="99" t="s">
        <v>51</v>
      </c>
      <c r="AE60" s="99" t="s">
        <v>94</v>
      </c>
      <c r="AF60" s="99" t="s">
        <v>142</v>
      </c>
      <c r="AG60" s="99" t="s">
        <v>128</v>
      </c>
      <c r="AH60" s="99" t="s">
        <v>130</v>
      </c>
      <c r="AI60" s="99" t="s">
        <v>139</v>
      </c>
      <c r="AJ60" s="99" t="s">
        <v>141</v>
      </c>
      <c r="AK60" s="99" t="s">
        <v>143</v>
      </c>
    </row>
    <row r="61" spans="1:37" x14ac:dyDescent="0.35">
      <c r="A61" s="1">
        <v>2</v>
      </c>
      <c r="B61" s="3" t="s">
        <v>52</v>
      </c>
      <c r="C61" s="99"/>
      <c r="D61" s="99" t="s">
        <v>25</v>
      </c>
      <c r="E61" s="99"/>
      <c r="H61" s="3" t="s">
        <v>52</v>
      </c>
      <c r="I61" s="99"/>
      <c r="J61" s="99"/>
      <c r="K61" s="99"/>
      <c r="L61" s="99"/>
      <c r="M61" s="99"/>
      <c r="N61" s="99"/>
      <c r="O61" s="99"/>
      <c r="P61" s="99"/>
      <c r="Q61" s="99"/>
      <c r="R61" s="99"/>
      <c r="S61" s="99"/>
      <c r="T61" s="99"/>
      <c r="U61" s="99"/>
      <c r="V61" s="99"/>
      <c r="W61" s="99"/>
      <c r="X61" s="99"/>
      <c r="Y61" s="99"/>
      <c r="Z61" s="99"/>
      <c r="AA61" s="99"/>
      <c r="AB61" s="99"/>
      <c r="AC61" s="99" t="s">
        <v>25</v>
      </c>
      <c r="AD61" s="99" t="s">
        <v>25</v>
      </c>
      <c r="AE61" s="99" t="s">
        <v>25</v>
      </c>
      <c r="AF61" s="99" t="s">
        <v>25</v>
      </c>
      <c r="AG61" s="99"/>
      <c r="AH61" s="99"/>
      <c r="AI61" s="99"/>
      <c r="AJ61" s="99" t="s">
        <v>25</v>
      </c>
      <c r="AK61" s="99"/>
    </row>
    <row r="62" spans="1:37" ht="6.75" customHeight="1" x14ac:dyDescent="0.35">
      <c r="A62" s="1">
        <v>3</v>
      </c>
    </row>
    <row r="63" spans="1:37" x14ac:dyDescent="0.35">
      <c r="A63" s="1">
        <v>4</v>
      </c>
      <c r="B63" s="2" t="s">
        <v>84</v>
      </c>
      <c r="C63" s="9">
        <f>+HLOOKUP($C$60,$H$60:$AM$85,A63,FALSE)</f>
        <v>37.681899710000003</v>
      </c>
      <c r="D63" s="9">
        <f t="shared" ref="D63:D85" si="14">+HLOOKUP($D$60,$H$60:$AM$85,A63,FALSE)</f>
        <v>37.959551309999995</v>
      </c>
      <c r="E63" s="38">
        <f>D63/C63-1</f>
        <v>7.3683015489345305E-3</v>
      </c>
      <c r="H63" s="2" t="s">
        <v>84</v>
      </c>
      <c r="I63" s="32"/>
      <c r="J63" s="32"/>
      <c r="K63" s="32"/>
      <c r="L63" s="32"/>
      <c r="M63" s="32"/>
      <c r="N63" s="32"/>
      <c r="O63" s="32"/>
      <c r="P63" s="32"/>
      <c r="Q63" s="9">
        <f t="shared" ref="Q63:X63" si="15">SUM(Q64:Q68)</f>
        <v>55.583655499999999</v>
      </c>
      <c r="R63" s="9">
        <f t="shared" si="15"/>
        <v>54.9629184</v>
      </c>
      <c r="S63" s="9">
        <f t="shared" si="15"/>
        <v>49.082694860000004</v>
      </c>
      <c r="T63" s="9">
        <f t="shared" si="15"/>
        <v>57.097280980000001</v>
      </c>
      <c r="U63" s="9">
        <f t="shared" si="15"/>
        <v>47.636293819999999</v>
      </c>
      <c r="V63" s="9">
        <f t="shared" si="15"/>
        <v>46.971507459999998</v>
      </c>
      <c r="W63" s="9">
        <f t="shared" si="15"/>
        <v>51.493997259999993</v>
      </c>
      <c r="X63" s="9">
        <f t="shared" si="15"/>
        <v>46.735641690000008</v>
      </c>
      <c r="Y63" s="9">
        <f t="shared" ref="Y63:AE63" si="16">SUM(Y64:Y68)</f>
        <v>52.673049919999997</v>
      </c>
      <c r="Z63" s="9">
        <f t="shared" si="16"/>
        <v>52.289317230000002</v>
      </c>
      <c r="AA63" s="9">
        <f t="shared" si="16"/>
        <v>40.085187489999996</v>
      </c>
      <c r="AB63" s="9">
        <f t="shared" si="16"/>
        <v>38.385628109999999</v>
      </c>
      <c r="AC63" s="9">
        <f t="shared" si="16"/>
        <v>41.960275469999999</v>
      </c>
      <c r="AD63" s="9">
        <f t="shared" si="16"/>
        <v>41.306034390000001</v>
      </c>
      <c r="AE63" s="9">
        <f t="shared" si="16"/>
        <v>44.203243349999994</v>
      </c>
      <c r="AF63" s="9">
        <f t="shared" ref="AF63:AK63" si="17">SUM(AF64:AF68)</f>
        <v>47.314848999999995</v>
      </c>
      <c r="AG63" s="9">
        <f t="shared" si="17"/>
        <v>37.681899710000003</v>
      </c>
      <c r="AH63" s="9">
        <f t="shared" si="17"/>
        <v>34.790087870000001</v>
      </c>
      <c r="AI63" s="9">
        <f t="shared" si="17"/>
        <v>42.889557519999997</v>
      </c>
      <c r="AJ63" s="9">
        <f t="shared" si="17"/>
        <v>44.078781450000001</v>
      </c>
      <c r="AK63" s="9">
        <f t="shared" si="17"/>
        <v>37.959551309999995</v>
      </c>
    </row>
    <row r="64" spans="1:37" x14ac:dyDescent="0.35">
      <c r="A64" s="1">
        <v>5</v>
      </c>
      <c r="B64" s="5" t="s">
        <v>85</v>
      </c>
      <c r="C64" s="7">
        <f t="shared" ref="C64:C85" si="18">+HLOOKUP($C$60,$H$60:$AM$85,A64,FALSE)</f>
        <v>29.28596782</v>
      </c>
      <c r="D64" s="7">
        <f>+HLOOKUP($D$60,$H$60:$AM$85,A64,FALSE)</f>
        <v>27.355224159999995</v>
      </c>
      <c r="E64" s="36">
        <f>D64/C64-1</f>
        <v>-6.5927261542692128E-2</v>
      </c>
      <c r="H64" s="5" t="s">
        <v>85</v>
      </c>
      <c r="I64" s="7"/>
      <c r="J64" s="7"/>
      <c r="K64" s="7"/>
      <c r="L64" s="7"/>
      <c r="M64" s="7"/>
      <c r="N64" s="7"/>
      <c r="O64" s="7"/>
      <c r="P64" s="7"/>
      <c r="Q64" s="7">
        <v>32.460313200000002</v>
      </c>
      <c r="R64" s="7">
        <v>29.138366089999998</v>
      </c>
      <c r="S64" s="7">
        <v>28.332158719999999</v>
      </c>
      <c r="T64" s="7">
        <v>29.400125059999997</v>
      </c>
      <c r="U64" s="7">
        <v>30.41764161</v>
      </c>
      <c r="V64" s="7">
        <v>29.193580749999999</v>
      </c>
      <c r="W64" s="7">
        <v>31.344619299999998</v>
      </c>
      <c r="X64" s="7">
        <v>31.739627410000004</v>
      </c>
      <c r="Y64" s="7">
        <v>28.93242343</v>
      </c>
      <c r="Z64" s="7">
        <v>27.544648819999999</v>
      </c>
      <c r="AA64" s="7">
        <v>26.837658909999995</v>
      </c>
      <c r="AB64" s="7">
        <v>23.979617300000001</v>
      </c>
      <c r="AC64" s="7">
        <v>27.59225554</v>
      </c>
      <c r="AD64" s="7">
        <v>27.797825039999999</v>
      </c>
      <c r="AE64" s="7">
        <v>27.159665349999997</v>
      </c>
      <c r="AF64" s="7">
        <v>28.902238430000001</v>
      </c>
      <c r="AG64" s="7">
        <v>29.28596782</v>
      </c>
      <c r="AH64" s="7">
        <v>25.058760310000004</v>
      </c>
      <c r="AI64" s="7">
        <v>26.776863710000001</v>
      </c>
      <c r="AJ64" s="7">
        <v>27.41628996</v>
      </c>
      <c r="AK64" s="7">
        <v>27.355224159999995</v>
      </c>
    </row>
    <row r="65" spans="1:37" x14ac:dyDescent="0.35">
      <c r="A65" s="1">
        <v>6</v>
      </c>
      <c r="B65" s="5" t="s">
        <v>86</v>
      </c>
      <c r="C65" s="7">
        <f t="shared" si="18"/>
        <v>5.4581992300000008</v>
      </c>
      <c r="D65" s="7">
        <f>+HLOOKUP($D$60,$H$60:$AM$85,A65,FALSE)</f>
        <v>6.59947835</v>
      </c>
      <c r="E65" s="49">
        <f t="shared" ref="E65" si="19">D65/C65-1</f>
        <v>0.20909444157464341</v>
      </c>
      <c r="H65" s="5" t="s">
        <v>86</v>
      </c>
      <c r="I65" s="7"/>
      <c r="J65" s="7"/>
      <c r="K65" s="7"/>
      <c r="L65" s="7"/>
      <c r="M65" s="7"/>
      <c r="N65" s="7"/>
      <c r="O65" s="7"/>
      <c r="P65" s="7"/>
      <c r="Q65" s="7">
        <v>5.6</v>
      </c>
      <c r="R65" s="7">
        <v>6.6</v>
      </c>
      <c r="S65" s="7">
        <v>6.1689418100000006</v>
      </c>
      <c r="T65" s="7">
        <v>0.29570797999999998</v>
      </c>
      <c r="U65" s="7">
        <v>3.9916751399999995</v>
      </c>
      <c r="V65" s="7">
        <v>3.8195686800000002</v>
      </c>
      <c r="W65" s="7">
        <v>3.3034332700000002</v>
      </c>
      <c r="X65" s="7">
        <v>1.5023979999999982E-2</v>
      </c>
      <c r="Y65" s="7">
        <v>7.9133462900000007</v>
      </c>
      <c r="Z65" s="7">
        <v>9.3299704900000009</v>
      </c>
      <c r="AA65" s="7">
        <v>5.3961819800000006</v>
      </c>
      <c r="AB65" s="7">
        <v>6.9740460799999999</v>
      </c>
      <c r="AC65" s="7">
        <v>8.3434991900000011</v>
      </c>
      <c r="AD65" s="7">
        <v>7.6966708700000002</v>
      </c>
      <c r="AE65" s="7">
        <v>8.1598182400000017</v>
      </c>
      <c r="AF65" s="7">
        <v>8.1723705200000012</v>
      </c>
      <c r="AG65" s="7">
        <v>5.4581992300000008</v>
      </c>
      <c r="AH65" s="7">
        <v>4.3626116799999997</v>
      </c>
      <c r="AI65" s="7">
        <v>6.5637490400000003</v>
      </c>
      <c r="AJ65" s="7">
        <v>6.0036959899999989</v>
      </c>
      <c r="AK65" s="7">
        <v>6.59947835</v>
      </c>
    </row>
    <row r="66" spans="1:37" x14ac:dyDescent="0.35">
      <c r="A66" s="1">
        <v>7</v>
      </c>
      <c r="B66" s="5" t="s">
        <v>87</v>
      </c>
      <c r="C66" s="7">
        <f t="shared" si="18"/>
        <v>1.6580831100000002</v>
      </c>
      <c r="D66" s="7">
        <f t="shared" si="14"/>
        <v>2.5091850400000002</v>
      </c>
      <c r="E66" s="36">
        <f t="shared" ref="E66:E68" si="20">D66/C66-1</f>
        <v>0.51330474622589928</v>
      </c>
      <c r="H66" s="5" t="s">
        <v>95</v>
      </c>
      <c r="I66" s="7"/>
      <c r="J66" s="7"/>
      <c r="K66" s="7"/>
      <c r="L66" s="7"/>
      <c r="M66" s="7"/>
      <c r="N66" s="7"/>
      <c r="O66" s="7"/>
      <c r="P66" s="7"/>
      <c r="Q66" s="7">
        <v>8.5953532900000003</v>
      </c>
      <c r="R66" s="7">
        <v>6.4017951300000009</v>
      </c>
      <c r="S66" s="7">
        <v>5.7872665799999998</v>
      </c>
      <c r="T66" s="7">
        <v>16.955132990000003</v>
      </c>
      <c r="U66" s="7">
        <v>1.47052644</v>
      </c>
      <c r="V66" s="7">
        <v>3.6616426599999996</v>
      </c>
      <c r="W66" s="7">
        <v>5.7423679999999999</v>
      </c>
      <c r="X66" s="7">
        <v>2.3145004</v>
      </c>
      <c r="Y66" s="7">
        <v>1.47969777</v>
      </c>
      <c r="Z66" s="7">
        <v>3.3943515400000002</v>
      </c>
      <c r="AA66" s="7">
        <v>6.4587246999999994</v>
      </c>
      <c r="AB66" s="7">
        <v>6.2914542299999994</v>
      </c>
      <c r="AC66" s="7">
        <v>4.83443925</v>
      </c>
      <c r="AD66" s="7">
        <v>4.7913998300000005</v>
      </c>
      <c r="AE66" s="7">
        <v>7.3000909399999996</v>
      </c>
      <c r="AF66" s="7">
        <v>3.0115666299999999</v>
      </c>
      <c r="AG66" s="7">
        <v>1.6580831100000002</v>
      </c>
      <c r="AH66" s="7">
        <v>3.9147359100000001</v>
      </c>
      <c r="AI66" s="7">
        <v>8.1863365100000003</v>
      </c>
      <c r="AJ66" s="7">
        <v>9.1388253099999996</v>
      </c>
      <c r="AK66" s="7">
        <v>2.5091850400000002</v>
      </c>
    </row>
    <row r="67" spans="1:37" x14ac:dyDescent="0.35">
      <c r="A67" s="1">
        <v>8</v>
      </c>
      <c r="B67" s="5" t="s">
        <v>57</v>
      </c>
      <c r="C67" s="7">
        <f t="shared" si="18"/>
        <v>0</v>
      </c>
      <c r="D67" s="7">
        <f t="shared" si="14"/>
        <v>0</v>
      </c>
      <c r="E67" s="49" t="s">
        <v>44</v>
      </c>
      <c r="H67" s="5" t="s">
        <v>57</v>
      </c>
      <c r="I67" s="7"/>
      <c r="J67" s="7"/>
      <c r="K67" s="7"/>
      <c r="L67" s="7"/>
      <c r="M67" s="7"/>
      <c r="N67" s="7"/>
      <c r="O67" s="7"/>
      <c r="P67" s="7"/>
      <c r="Q67" s="7">
        <v>8.9279890099999992</v>
      </c>
      <c r="R67" s="7">
        <v>12.502251830000001</v>
      </c>
      <c r="S67" s="7">
        <v>8.4584802499999991</v>
      </c>
      <c r="T67" s="7">
        <v>10.021971669999997</v>
      </c>
      <c r="U67" s="7">
        <v>10.59247901</v>
      </c>
      <c r="V67" s="7">
        <v>8.9588192499999995</v>
      </c>
      <c r="W67" s="7">
        <v>10.080884190000001</v>
      </c>
      <c r="X67" s="7">
        <v>11.61420582</v>
      </c>
      <c r="Y67" s="7">
        <v>12.948201429999999</v>
      </c>
      <c r="Z67" s="7">
        <v>10.965700719999999</v>
      </c>
      <c r="AA67" s="7">
        <v>0</v>
      </c>
      <c r="AB67" s="7"/>
      <c r="AC67" s="7"/>
      <c r="AD67" s="7"/>
      <c r="AE67" s="7"/>
      <c r="AF67" s="74">
        <v>0</v>
      </c>
      <c r="AG67" s="74">
        <v>0</v>
      </c>
      <c r="AH67" s="74"/>
      <c r="AI67" s="74"/>
      <c r="AJ67" s="74"/>
      <c r="AK67" s="74">
        <v>0</v>
      </c>
    </row>
    <row r="68" spans="1:37" x14ac:dyDescent="0.35">
      <c r="A68" s="1">
        <v>9</v>
      </c>
      <c r="B68" s="5" t="s">
        <v>55</v>
      </c>
      <c r="C68" s="7">
        <f t="shared" si="18"/>
        <v>1.27964955</v>
      </c>
      <c r="D68" s="7">
        <f t="shared" si="14"/>
        <v>1.49566376</v>
      </c>
      <c r="E68" s="36">
        <f t="shared" si="20"/>
        <v>0.16880731916015601</v>
      </c>
      <c r="H68" s="5" t="s">
        <v>55</v>
      </c>
      <c r="I68" s="7"/>
      <c r="J68" s="7"/>
      <c r="K68" s="7"/>
      <c r="L68" s="7"/>
      <c r="M68" s="7"/>
      <c r="N68" s="7"/>
      <c r="O68" s="7"/>
      <c r="P68" s="7"/>
      <c r="Q68" s="7">
        <v>0</v>
      </c>
      <c r="R68" s="7">
        <v>0.32050534999999997</v>
      </c>
      <c r="S68" s="7">
        <v>0.33584750000000002</v>
      </c>
      <c r="T68" s="7">
        <v>0.42434328000000004</v>
      </c>
      <c r="U68" s="7">
        <v>1.1639716200000001</v>
      </c>
      <c r="V68" s="7">
        <v>1.3378961200000001</v>
      </c>
      <c r="W68" s="7">
        <v>1.0226925</v>
      </c>
      <c r="X68" s="7">
        <v>1.0522840800000002</v>
      </c>
      <c r="Y68" s="7">
        <v>1.399381</v>
      </c>
      <c r="Z68" s="7">
        <v>1.0546456599999998</v>
      </c>
      <c r="AA68" s="7">
        <v>1.3926219000000002</v>
      </c>
      <c r="AB68" s="7">
        <v>1.1405105</v>
      </c>
      <c r="AC68" s="7">
        <v>1.1900814900000001</v>
      </c>
      <c r="AD68" s="7">
        <v>1.02013865</v>
      </c>
      <c r="AE68" s="7">
        <v>1.58366882</v>
      </c>
      <c r="AF68" s="7">
        <v>7.2286734200000007</v>
      </c>
      <c r="AG68" s="7">
        <v>1.27964955</v>
      </c>
      <c r="AH68" s="7">
        <v>1.45397997</v>
      </c>
      <c r="AI68" s="7">
        <v>1.36260826</v>
      </c>
      <c r="AJ68" s="7">
        <v>1.51997019</v>
      </c>
      <c r="AK68" s="7">
        <v>1.49566376</v>
      </c>
    </row>
    <row r="69" spans="1:37" ht="4.5" customHeight="1" x14ac:dyDescent="0.35">
      <c r="A69" s="1">
        <v>10</v>
      </c>
      <c r="C69" s="1">
        <f t="shared" si="18"/>
        <v>0</v>
      </c>
      <c r="D69" s="1">
        <f t="shared" si="14"/>
        <v>0</v>
      </c>
    </row>
    <row r="70" spans="1:37" x14ac:dyDescent="0.35">
      <c r="A70" s="1">
        <v>11</v>
      </c>
      <c r="B70" s="2" t="s">
        <v>88</v>
      </c>
      <c r="C70" s="9">
        <f t="shared" si="18"/>
        <v>-15.886885639999999</v>
      </c>
      <c r="D70" s="9">
        <f t="shared" si="14"/>
        <v>-17.433526780000001</v>
      </c>
      <c r="E70" s="38">
        <f>D70/C70-1</f>
        <v>9.7353324940280928E-2</v>
      </c>
      <c r="H70" s="2" t="s">
        <v>88</v>
      </c>
      <c r="I70" s="32"/>
      <c r="J70" s="32"/>
      <c r="K70" s="32"/>
      <c r="L70" s="32"/>
      <c r="M70" s="32"/>
      <c r="N70" s="32"/>
      <c r="O70" s="32"/>
      <c r="P70" s="32"/>
      <c r="Q70" s="9">
        <f t="shared" ref="Q70:X70" si="21">SUM(Q71:Q75)</f>
        <v>-32.306038980000004</v>
      </c>
      <c r="R70" s="9">
        <f t="shared" si="21"/>
        <v>-41.795531619999998</v>
      </c>
      <c r="S70" s="9">
        <f t="shared" si="21"/>
        <v>-30.759452379999999</v>
      </c>
      <c r="T70" s="9">
        <f t="shared" si="21"/>
        <v>-39.480105159999994</v>
      </c>
      <c r="U70" s="9">
        <f t="shared" si="21"/>
        <v>-34.353933659999996</v>
      </c>
      <c r="V70" s="9">
        <f t="shared" si="21"/>
        <v>-33.9733351</v>
      </c>
      <c r="W70" s="9">
        <f t="shared" si="21"/>
        <v>-35.661452799999999</v>
      </c>
      <c r="X70" s="9">
        <f t="shared" si="21"/>
        <v>-37.405603590000005</v>
      </c>
      <c r="Y70" s="9">
        <f t="shared" ref="Y70:AE70" si="22">SUM(Y71:Y75)</f>
        <v>-40.773118190000005</v>
      </c>
      <c r="Z70" s="9">
        <f t="shared" si="22"/>
        <v>-37.811925799999997</v>
      </c>
      <c r="AA70" s="9">
        <f t="shared" si="22"/>
        <v>-30.209554599999997</v>
      </c>
      <c r="AB70" s="9">
        <f>+SUM(AB71:AB75)</f>
        <v>-28.78228824</v>
      </c>
      <c r="AC70" s="9">
        <f t="shared" si="22"/>
        <v>-23.492882950000002</v>
      </c>
      <c r="AD70" s="9">
        <f t="shared" si="22"/>
        <v>-20.57628506</v>
      </c>
      <c r="AE70" s="9">
        <f t="shared" si="22"/>
        <v>-26.275369099999999</v>
      </c>
      <c r="AF70" s="9">
        <f t="shared" ref="AF70:AK70" si="23">SUM(AF71:AF75)</f>
        <v>-25.377440749999998</v>
      </c>
      <c r="AG70" s="9">
        <f t="shared" si="23"/>
        <v>-15.886885639999999</v>
      </c>
      <c r="AH70" s="9">
        <f t="shared" si="23"/>
        <v>-19.82229126</v>
      </c>
      <c r="AI70" s="9">
        <f t="shared" si="23"/>
        <v>-25.174800519999998</v>
      </c>
      <c r="AJ70" s="9">
        <f t="shared" si="23"/>
        <v>-25.542623639999995</v>
      </c>
      <c r="AK70" s="9">
        <f t="shared" si="23"/>
        <v>-17.433526780000001</v>
      </c>
    </row>
    <row r="71" spans="1:37" x14ac:dyDescent="0.35">
      <c r="A71" s="1">
        <v>12</v>
      </c>
      <c r="B71" s="5" t="s">
        <v>57</v>
      </c>
      <c r="C71" s="44">
        <f t="shared" si="18"/>
        <v>-0.7</v>
      </c>
      <c r="D71" s="44">
        <f t="shared" si="14"/>
        <v>-0.42041494000000001</v>
      </c>
      <c r="E71" s="36">
        <f t="shared" ref="E71:E75" si="24">D71/C71-1</f>
        <v>-0.39940722857142852</v>
      </c>
      <c r="H71" s="5" t="s">
        <v>57</v>
      </c>
      <c r="I71" s="7"/>
      <c r="J71" s="7"/>
      <c r="K71" s="7"/>
      <c r="L71" s="7"/>
      <c r="M71" s="7"/>
      <c r="N71" s="7"/>
      <c r="O71" s="7"/>
      <c r="P71" s="7"/>
      <c r="Q71" s="44">
        <v>-8.6869376099999993</v>
      </c>
      <c r="R71" s="44">
        <v>-10.98468411</v>
      </c>
      <c r="S71" s="44">
        <v>-7.5221053799999993</v>
      </c>
      <c r="T71" s="44">
        <v>-8.4976941799999999</v>
      </c>
      <c r="U71" s="44">
        <v>-8.7930702800000002</v>
      </c>
      <c r="V71" s="44">
        <v>-8.4213767199999996</v>
      </c>
      <c r="W71" s="44">
        <v>-9.6291035800000007</v>
      </c>
      <c r="X71" s="44">
        <v>-10.23718113</v>
      </c>
      <c r="Y71" s="44">
        <v>-10.758186589999999</v>
      </c>
      <c r="Z71" s="44">
        <v>-10.957769000000001</v>
      </c>
      <c r="AA71" s="44">
        <v>-0.66157777000000095</v>
      </c>
      <c r="AB71" s="44"/>
      <c r="AC71" s="44">
        <v>-0.49616329999999997</v>
      </c>
      <c r="AD71" s="44">
        <v>-0.73033623999999997</v>
      </c>
      <c r="AE71" s="44">
        <v>-1.3071812600000001</v>
      </c>
      <c r="AF71" s="44">
        <v>-0.91939967999999994</v>
      </c>
      <c r="AG71" s="44">
        <v>-0.7</v>
      </c>
      <c r="AH71" s="44">
        <v>-2.2193861799999999</v>
      </c>
      <c r="AI71" s="44">
        <v>-1.2449280699999998</v>
      </c>
      <c r="AJ71" s="44">
        <v>-1.1551104400000001</v>
      </c>
      <c r="AK71" s="44">
        <v>-0.42041494000000001</v>
      </c>
    </row>
    <row r="72" spans="1:37" x14ac:dyDescent="0.35">
      <c r="A72" s="1">
        <v>13</v>
      </c>
      <c r="B72" s="5" t="s">
        <v>58</v>
      </c>
      <c r="C72" s="44">
        <f t="shared" si="18"/>
        <v>-1.3</v>
      </c>
      <c r="D72" s="44">
        <f t="shared" si="14"/>
        <v>-0.38486635999999996</v>
      </c>
      <c r="E72" s="49" t="s">
        <v>44</v>
      </c>
      <c r="H72" s="5" t="s">
        <v>58</v>
      </c>
      <c r="I72" s="7"/>
      <c r="J72" s="7"/>
      <c r="K72" s="7"/>
      <c r="L72" s="7"/>
      <c r="M72" s="7"/>
      <c r="N72" s="7"/>
      <c r="O72" s="7"/>
      <c r="P72" s="7"/>
      <c r="Q72" s="44">
        <v>-2.4822059000000003</v>
      </c>
      <c r="R72" s="44">
        <v>-8.7254282500000002</v>
      </c>
      <c r="S72" s="44">
        <v>-3.1551651900000004</v>
      </c>
      <c r="T72" s="44">
        <v>-1.36595606</v>
      </c>
      <c r="U72" s="44">
        <v>-2.8579380299999997</v>
      </c>
      <c r="V72" s="44">
        <v>-1.42054E-2</v>
      </c>
      <c r="W72" s="44">
        <v>-0.14726351999999998</v>
      </c>
      <c r="X72" s="44">
        <v>-1.8561880000000003E-2</v>
      </c>
      <c r="Y72" s="44">
        <v>-6.3891180600000004</v>
      </c>
      <c r="Z72" s="44">
        <v>-1.296899E-2</v>
      </c>
      <c r="AA72" s="44">
        <v>-0.13729293999999997</v>
      </c>
      <c r="AB72" s="44">
        <v>-3.7507E-3</v>
      </c>
      <c r="AC72" s="44">
        <v>-0.27191003000000002</v>
      </c>
      <c r="AD72" s="44">
        <v>-0.36717951000000004</v>
      </c>
      <c r="AE72" s="44">
        <v>0</v>
      </c>
      <c r="AF72" s="44">
        <v>-0.34991742999999997</v>
      </c>
      <c r="AG72" s="44">
        <v>-1.3</v>
      </c>
      <c r="AH72" s="44">
        <v>-0.48811054999999998</v>
      </c>
      <c r="AI72" s="44">
        <v>-5.9718210000000001E-2</v>
      </c>
      <c r="AJ72" s="44">
        <v>-1.2861E-4</v>
      </c>
      <c r="AK72" s="44">
        <v>-0.38486635999999996</v>
      </c>
    </row>
    <row r="73" spans="1:37" x14ac:dyDescent="0.35">
      <c r="A73" s="1">
        <v>14</v>
      </c>
      <c r="B73" s="5" t="s">
        <v>59</v>
      </c>
      <c r="C73" s="44">
        <f t="shared" si="18"/>
        <v>-11.1</v>
      </c>
      <c r="D73" s="44">
        <f t="shared" si="14"/>
        <v>-15.12824548</v>
      </c>
      <c r="E73" s="36">
        <f t="shared" si="24"/>
        <v>0.36290499819819821</v>
      </c>
      <c r="H73" s="5" t="s">
        <v>59</v>
      </c>
      <c r="I73" s="7"/>
      <c r="J73" s="7"/>
      <c r="K73" s="7"/>
      <c r="L73" s="7"/>
      <c r="M73" s="7"/>
      <c r="N73" s="7"/>
      <c r="O73" s="7"/>
      <c r="P73" s="7"/>
      <c r="Q73" s="44">
        <v>-16.863124360000004</v>
      </c>
      <c r="R73" s="44">
        <v>-19.939320459999998</v>
      </c>
      <c r="S73" s="44">
        <v>-17.725214960000002</v>
      </c>
      <c r="T73" s="44">
        <v>-28.326226259999999</v>
      </c>
      <c r="U73" s="44">
        <v>-20.05521062</v>
      </c>
      <c r="V73" s="44">
        <v>-23.011494200000001</v>
      </c>
      <c r="W73" s="44">
        <v>-24.285353650000001</v>
      </c>
      <c r="X73" s="44">
        <v>-24.371911540000003</v>
      </c>
      <c r="Y73" s="44">
        <v>-18.965294759999999</v>
      </c>
      <c r="Z73" s="44">
        <v>-23.6114715</v>
      </c>
      <c r="AA73" s="44">
        <v>-24.548299199999999</v>
      </c>
      <c r="AB73" s="44">
        <v>-25.285733</v>
      </c>
      <c r="AC73" s="44">
        <v>-19.612186380000001</v>
      </c>
      <c r="AD73" s="44">
        <v>-16.17645731</v>
      </c>
      <c r="AE73" s="44">
        <v>-22.237171629999999</v>
      </c>
      <c r="AF73" s="44">
        <v>-20.756213280000001</v>
      </c>
      <c r="AG73" s="44">
        <v>-11.1</v>
      </c>
      <c r="AH73" s="44">
        <v>-14.580119980000001</v>
      </c>
      <c r="AI73" s="44">
        <v>-20.636345499999997</v>
      </c>
      <c r="AJ73" s="44">
        <v>-19.569473139999999</v>
      </c>
      <c r="AK73" s="44">
        <v>-15.12824548</v>
      </c>
    </row>
    <row r="74" spans="1:37" x14ac:dyDescent="0.35">
      <c r="A74" s="1">
        <v>15</v>
      </c>
      <c r="B74" s="5" t="s">
        <v>60</v>
      </c>
      <c r="C74" s="44">
        <f t="shared" si="18"/>
        <v>0</v>
      </c>
      <c r="D74" s="44">
        <f t="shared" si="14"/>
        <v>0</v>
      </c>
      <c r="E74" s="49" t="s">
        <v>44</v>
      </c>
      <c r="H74" s="5" t="s">
        <v>60</v>
      </c>
      <c r="I74" s="7"/>
      <c r="J74" s="7"/>
      <c r="K74" s="7"/>
      <c r="L74" s="7"/>
      <c r="M74" s="7"/>
      <c r="N74" s="7"/>
      <c r="O74" s="7"/>
      <c r="P74" s="7"/>
      <c r="Q74" s="44"/>
      <c r="R74" s="44"/>
      <c r="S74" s="44"/>
      <c r="T74" s="44"/>
      <c r="U74" s="44"/>
      <c r="V74" s="44"/>
      <c r="W74" s="44"/>
      <c r="X74" s="44"/>
      <c r="Y74" s="44"/>
      <c r="Z74" s="44"/>
      <c r="AA74" s="44">
        <v>-1.3596464999999998</v>
      </c>
      <c r="AB74" s="44">
        <v>0</v>
      </c>
      <c r="AC74" s="44">
        <v>0</v>
      </c>
      <c r="AD74" s="44">
        <v>0</v>
      </c>
      <c r="AE74" s="44">
        <v>0</v>
      </c>
      <c r="AF74" s="44">
        <v>0</v>
      </c>
      <c r="AG74" s="44">
        <v>0</v>
      </c>
      <c r="AH74" s="44">
        <v>0</v>
      </c>
      <c r="AI74" s="44">
        <v>0</v>
      </c>
      <c r="AJ74" s="44">
        <v>-0.91938023999999996</v>
      </c>
      <c r="AK74" s="44">
        <v>0</v>
      </c>
    </row>
    <row r="75" spans="1:37" x14ac:dyDescent="0.35">
      <c r="A75" s="1">
        <v>16</v>
      </c>
      <c r="B75" s="5" t="s">
        <v>89</v>
      </c>
      <c r="C75" s="44">
        <f t="shared" si="18"/>
        <v>-2.7868856400000004</v>
      </c>
      <c r="D75" s="44">
        <f t="shared" si="14"/>
        <v>-1.5</v>
      </c>
      <c r="E75" s="49">
        <f t="shared" si="24"/>
        <v>-0.46176478199514503</v>
      </c>
      <c r="H75" s="5" t="s">
        <v>89</v>
      </c>
      <c r="I75" s="7"/>
      <c r="J75" s="7"/>
      <c r="K75" s="7"/>
      <c r="L75" s="7"/>
      <c r="M75" s="7"/>
      <c r="N75" s="7"/>
      <c r="O75" s="7"/>
      <c r="P75" s="7"/>
      <c r="Q75" s="44">
        <v>-4.2737711100000002</v>
      </c>
      <c r="R75" s="44">
        <v>-2.1460987999999999</v>
      </c>
      <c r="S75" s="44">
        <v>-2.3569668500000001</v>
      </c>
      <c r="T75" s="44">
        <v>-1.2902286600000001</v>
      </c>
      <c r="U75" s="44">
        <v>-2.6477147300000001</v>
      </c>
      <c r="V75" s="44">
        <v>-2.5262587800000005</v>
      </c>
      <c r="W75" s="44">
        <v>-1.5997320500000001</v>
      </c>
      <c r="X75" s="44">
        <v>-2.7779490399999998</v>
      </c>
      <c r="Y75" s="44">
        <v>-4.6605187800000003</v>
      </c>
      <c r="Z75" s="44">
        <v>-3.2297163100000006</v>
      </c>
      <c r="AA75" s="44">
        <v>-3.5027381900000001</v>
      </c>
      <c r="AB75" s="44">
        <v>-3.4928045399999998</v>
      </c>
      <c r="AC75" s="44">
        <v>-3.11262324</v>
      </c>
      <c r="AD75" s="44">
        <v>-3.3023120000000001</v>
      </c>
      <c r="AE75" s="44">
        <v>-2.7310162099999999</v>
      </c>
      <c r="AF75" s="44">
        <v>-3.3519103599999998</v>
      </c>
      <c r="AG75" s="44">
        <v>-2.7868856400000004</v>
      </c>
      <c r="AH75" s="44">
        <v>-2.5346745500000001</v>
      </c>
      <c r="AI75" s="44">
        <v>-3.2338087399999997</v>
      </c>
      <c r="AJ75" s="44">
        <v>-3.8985312099999998</v>
      </c>
      <c r="AK75" s="44">
        <v>-1.5</v>
      </c>
    </row>
    <row r="76" spans="1:37" ht="4.5" customHeight="1" x14ac:dyDescent="0.35">
      <c r="A76" s="1">
        <v>17</v>
      </c>
      <c r="C76" s="33">
        <f t="shared" si="18"/>
        <v>0</v>
      </c>
      <c r="D76" s="33">
        <f t="shared" si="14"/>
        <v>0</v>
      </c>
      <c r="E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row>
    <row r="77" spans="1:37" x14ac:dyDescent="0.35">
      <c r="A77" s="1">
        <v>18</v>
      </c>
      <c r="B77" s="2" t="s">
        <v>90</v>
      </c>
      <c r="C77" s="9">
        <f t="shared" si="18"/>
        <v>21.795014070000004</v>
      </c>
      <c r="D77" s="9">
        <f t="shared" si="14"/>
        <v>20.526024529999994</v>
      </c>
      <c r="E77" s="38">
        <f>D77/C77-1</f>
        <v>-5.8223845872470648E-2</v>
      </c>
      <c r="H77" s="2" t="s">
        <v>90</v>
      </c>
      <c r="I77" s="32"/>
      <c r="J77" s="32"/>
      <c r="K77" s="32"/>
      <c r="L77" s="32"/>
      <c r="M77" s="32"/>
      <c r="N77" s="32"/>
      <c r="O77" s="32"/>
      <c r="P77" s="32"/>
      <c r="Q77" s="9">
        <f t="shared" ref="Q77:X77" si="25">Q70+Q63</f>
        <v>23.277616519999995</v>
      </c>
      <c r="R77" s="9">
        <f t="shared" si="25"/>
        <v>13.167386780000001</v>
      </c>
      <c r="S77" s="9">
        <f t="shared" si="25"/>
        <v>18.323242480000005</v>
      </c>
      <c r="T77" s="9">
        <f t="shared" si="25"/>
        <v>17.617175820000007</v>
      </c>
      <c r="U77" s="9">
        <f t="shared" si="25"/>
        <v>13.282360160000003</v>
      </c>
      <c r="V77" s="9">
        <f t="shared" si="25"/>
        <v>12.998172359999998</v>
      </c>
      <c r="W77" s="9">
        <f t="shared" si="25"/>
        <v>15.832544459999994</v>
      </c>
      <c r="X77" s="9">
        <f t="shared" si="25"/>
        <v>9.330038100000003</v>
      </c>
      <c r="Y77" s="9">
        <f t="shared" ref="Y77:AE77" si="26">Y70+Y63</f>
        <v>11.899931729999992</v>
      </c>
      <c r="Z77" s="9">
        <f t="shared" si="26"/>
        <v>14.477391430000004</v>
      </c>
      <c r="AA77" s="9">
        <f t="shared" si="26"/>
        <v>9.8756328899999986</v>
      </c>
      <c r="AB77" s="9">
        <f t="shared" si="26"/>
        <v>9.6033398699999992</v>
      </c>
      <c r="AC77" s="9">
        <f t="shared" si="26"/>
        <v>18.467392519999997</v>
      </c>
      <c r="AD77" s="9">
        <f t="shared" si="26"/>
        <v>20.729749330000001</v>
      </c>
      <c r="AE77" s="9">
        <f t="shared" si="26"/>
        <v>17.927874249999995</v>
      </c>
      <c r="AF77" s="9">
        <f>AF70+AF63</f>
        <v>21.937408249999997</v>
      </c>
      <c r="AG77" s="9">
        <f>AG70+AG63</f>
        <v>21.795014070000004</v>
      </c>
      <c r="AH77" s="9">
        <f>AH70+AH63</f>
        <v>14.967796610000001</v>
      </c>
      <c r="AI77" s="9">
        <v>17.714756999999999</v>
      </c>
      <c r="AJ77" s="9">
        <f>AJ70+AJ63</f>
        <v>18.536157810000006</v>
      </c>
      <c r="AK77" s="9">
        <f>AK70+AK63</f>
        <v>20.526024529999994</v>
      </c>
    </row>
    <row r="78" spans="1:37" ht="4.5" customHeight="1" x14ac:dyDescent="0.35">
      <c r="A78" s="1">
        <v>19</v>
      </c>
      <c r="C78" s="33">
        <f t="shared" si="18"/>
        <v>0</v>
      </c>
      <c r="D78" s="33">
        <f t="shared" si="14"/>
        <v>0</v>
      </c>
      <c r="E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row>
    <row r="79" spans="1:37" x14ac:dyDescent="0.35">
      <c r="A79" s="1">
        <v>20</v>
      </c>
      <c r="B79" s="5" t="s">
        <v>64</v>
      </c>
      <c r="C79" s="44">
        <f t="shared" si="18"/>
        <v>-1.4757811199999999</v>
      </c>
      <c r="D79" s="44">
        <f t="shared" si="14"/>
        <v>-1.84047212</v>
      </c>
      <c r="E79" s="36">
        <f>D79/C79-1</f>
        <v>0.24711726898904907</v>
      </c>
      <c r="H79" s="5" t="s">
        <v>64</v>
      </c>
      <c r="I79" s="7"/>
      <c r="J79" s="7"/>
      <c r="K79" s="7"/>
      <c r="L79" s="7"/>
      <c r="M79" s="7"/>
      <c r="N79" s="7"/>
      <c r="O79" s="7"/>
      <c r="P79" s="7"/>
      <c r="Q79" s="44">
        <v>-1.9020556099999997</v>
      </c>
      <c r="R79" s="44">
        <v>-0.95662959000000014</v>
      </c>
      <c r="S79" s="44">
        <v>-1.38904001</v>
      </c>
      <c r="T79" s="44">
        <v>-1.64653396</v>
      </c>
      <c r="U79" s="44">
        <v>-1.35093598</v>
      </c>
      <c r="V79" s="44">
        <v>-1.4034176600000001</v>
      </c>
      <c r="W79" s="44">
        <v>-1.39107256</v>
      </c>
      <c r="X79" s="44">
        <v>-1.7022323799999999</v>
      </c>
      <c r="Y79" s="44">
        <v>-1.4411471600000001</v>
      </c>
      <c r="Z79" s="44">
        <v>-1.51758236</v>
      </c>
      <c r="AA79" s="44">
        <v>-1.6644289400000001</v>
      </c>
      <c r="AB79" s="44">
        <v>-1.50439375</v>
      </c>
      <c r="AC79" s="44">
        <v>-1.4640062700000001</v>
      </c>
      <c r="AD79" s="44">
        <v>-1.6127271700000001</v>
      </c>
      <c r="AE79" s="44">
        <v>-1.1963248800000001</v>
      </c>
      <c r="AF79" s="44">
        <v>-1.91541703</v>
      </c>
      <c r="AG79" s="44">
        <v>-1.4757811199999999</v>
      </c>
      <c r="AH79" s="44">
        <v>-1.5261225700000001</v>
      </c>
      <c r="AI79" s="44">
        <v>-1.5336618200000003</v>
      </c>
      <c r="AJ79" s="44">
        <v>-1.5264548799999997</v>
      </c>
      <c r="AK79" s="44">
        <v>-1.84047212</v>
      </c>
    </row>
    <row r="80" spans="1:37" x14ac:dyDescent="0.35">
      <c r="A80" s="1">
        <v>21</v>
      </c>
      <c r="B80" s="5" t="s">
        <v>91</v>
      </c>
      <c r="C80" s="44">
        <f t="shared" si="18"/>
        <v>-0.58283627999999998</v>
      </c>
      <c r="D80" s="44">
        <f t="shared" si="14"/>
        <v>-1.7515005400000001</v>
      </c>
      <c r="E80" s="49">
        <f>D80/C80-1</f>
        <v>2.0051330023587415</v>
      </c>
      <c r="H80" s="5" t="s">
        <v>91</v>
      </c>
      <c r="I80" s="7"/>
      <c r="J80" s="7"/>
      <c r="K80" s="7"/>
      <c r="L80" s="7"/>
      <c r="M80" s="7"/>
      <c r="N80" s="7"/>
      <c r="O80" s="7"/>
      <c r="P80" s="7"/>
      <c r="Q80" s="44">
        <v>-4.6529306799999999</v>
      </c>
      <c r="R80" s="44">
        <v>-3.0893527200000004</v>
      </c>
      <c r="S80" s="44">
        <v>-0.84189764999999994</v>
      </c>
      <c r="T80" s="44">
        <v>-1.86806512</v>
      </c>
      <c r="U80" s="44">
        <v>-0.51768802999999997</v>
      </c>
      <c r="V80" s="44">
        <v>-0.68306328000000005</v>
      </c>
      <c r="W80" s="44">
        <v>-0.97182712999999998</v>
      </c>
      <c r="X80" s="44">
        <v>10.162852590000002</v>
      </c>
      <c r="Y80" s="44">
        <v>-0.53674665999999993</v>
      </c>
      <c r="Z80" s="44">
        <v>-0.63847730999999985</v>
      </c>
      <c r="AA80" s="44">
        <v>-0.85316294999999986</v>
      </c>
      <c r="AB80" s="44">
        <v>-1.3746567500000002</v>
      </c>
      <c r="AC80" s="44">
        <v>-0.52620058000000003</v>
      </c>
      <c r="AD80" s="44">
        <v>-0.64479643999999992</v>
      </c>
      <c r="AE80" s="44">
        <v>-0.74230715999999985</v>
      </c>
      <c r="AF80" s="44">
        <v>-1.0305582499999997</v>
      </c>
      <c r="AG80" s="44">
        <v>-0.58283627999999998</v>
      </c>
      <c r="AH80" s="44">
        <v>8.5035019999999961E-2</v>
      </c>
      <c r="AI80" s="44">
        <v>-0.52473270999999999</v>
      </c>
      <c r="AJ80" s="44">
        <v>-0.73680754000000004</v>
      </c>
      <c r="AK80" s="44">
        <v>-1.7515005400000001</v>
      </c>
    </row>
    <row r="81" spans="1:37" x14ac:dyDescent="0.35">
      <c r="A81" s="1">
        <v>22</v>
      </c>
      <c r="B81" s="5" t="s">
        <v>66</v>
      </c>
      <c r="C81" s="44">
        <f t="shared" si="18"/>
        <v>-11.21907732</v>
      </c>
      <c r="D81" s="44">
        <f t="shared" si="14"/>
        <v>-8.9479389499999993</v>
      </c>
      <c r="E81" s="36">
        <f t="shared" ref="E81" si="27">D81/C81-1</f>
        <v>-0.20243539688877021</v>
      </c>
      <c r="H81" s="5" t="s">
        <v>66</v>
      </c>
      <c r="I81" s="7"/>
      <c r="J81" s="7"/>
      <c r="K81" s="7"/>
      <c r="L81" s="7"/>
      <c r="M81" s="7"/>
      <c r="N81" s="7"/>
      <c r="O81" s="7"/>
      <c r="P81" s="7"/>
      <c r="Q81" s="44">
        <v>-7.9848667500000001</v>
      </c>
      <c r="R81" s="44">
        <v>-7.9488865200000003</v>
      </c>
      <c r="S81" s="44">
        <v>-7.9521240000000013</v>
      </c>
      <c r="T81" s="44">
        <v>-8.0023987100000014</v>
      </c>
      <c r="U81" s="44">
        <v>-8.0354829599999995</v>
      </c>
      <c r="V81" s="44">
        <v>-8.0330798399999992</v>
      </c>
      <c r="W81" s="44">
        <v>-7.8220839199999972</v>
      </c>
      <c r="X81" s="44">
        <v>-8.3412998900000002</v>
      </c>
      <c r="Y81" s="44">
        <v>-8.1506856200000009</v>
      </c>
      <c r="Z81" s="44">
        <v>-8.2453212299999983</v>
      </c>
      <c r="AA81" s="44">
        <v>-8.2788340199999997</v>
      </c>
      <c r="AB81" s="44">
        <v>-8.5874377700000011</v>
      </c>
      <c r="AC81" s="44">
        <v>-10.861591690000001</v>
      </c>
      <c r="AD81" s="44">
        <v>-11.416930089999997</v>
      </c>
      <c r="AE81" s="44">
        <v>-11.762001100000001</v>
      </c>
      <c r="AF81" s="44">
        <v>-11.893788960000002</v>
      </c>
      <c r="AG81" s="44">
        <v>-11.21907732</v>
      </c>
      <c r="AH81" s="44">
        <v>-11.47850051</v>
      </c>
      <c r="AI81" s="44">
        <v>-12.182965490000001</v>
      </c>
      <c r="AJ81" s="44">
        <v>-11.69162096</v>
      </c>
      <c r="AK81" s="44">
        <v>-8.9479389499999993</v>
      </c>
    </row>
    <row r="82" spans="1:37" ht="4.5" customHeight="1" x14ac:dyDescent="0.35">
      <c r="A82" s="1">
        <v>23</v>
      </c>
      <c r="C82" s="33">
        <f t="shared" si="18"/>
        <v>0</v>
      </c>
      <c r="D82" s="33">
        <f t="shared" si="14"/>
        <v>0</v>
      </c>
      <c r="E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row>
    <row r="83" spans="1:37" x14ac:dyDescent="0.35">
      <c r="A83" s="1">
        <v>24</v>
      </c>
      <c r="B83" s="2" t="s">
        <v>92</v>
      </c>
      <c r="C83" s="9">
        <f t="shared" si="18"/>
        <v>8.5173193500000046</v>
      </c>
      <c r="D83" s="9">
        <f t="shared" si="14"/>
        <v>7.9861129199999947</v>
      </c>
      <c r="E83" s="38">
        <f>D83/C83-1</f>
        <v>-6.2367795332226139E-2</v>
      </c>
      <c r="H83" s="2" t="s">
        <v>92</v>
      </c>
      <c r="I83" s="32"/>
      <c r="J83" s="32"/>
      <c r="K83" s="32"/>
      <c r="L83" s="32"/>
      <c r="M83" s="32"/>
      <c r="N83" s="32"/>
      <c r="O83" s="32"/>
      <c r="P83" s="32"/>
      <c r="Q83" s="9">
        <f t="shared" ref="Q83:W83" si="28">Q77+Q79+Q80+Q81</f>
        <v>8.7377634799999964</v>
      </c>
      <c r="R83" s="9">
        <f t="shared" si="28"/>
        <v>1.1725179499999996</v>
      </c>
      <c r="S83" s="9">
        <f t="shared" si="28"/>
        <v>8.1401808200000048</v>
      </c>
      <c r="T83" s="9">
        <f t="shared" si="28"/>
        <v>6.1001780300000057</v>
      </c>
      <c r="U83" s="9">
        <f t="shared" si="28"/>
        <v>3.3782531900000041</v>
      </c>
      <c r="V83" s="9">
        <f t="shared" si="28"/>
        <v>2.8786115799999976</v>
      </c>
      <c r="W83" s="9">
        <f t="shared" si="28"/>
        <v>5.6475608499999979</v>
      </c>
      <c r="X83" s="9">
        <f t="shared" ref="X83:Y83" si="29">X77+X79+X80+X81</f>
        <v>9.4493584200000047</v>
      </c>
      <c r="Y83" s="9">
        <f t="shared" si="29"/>
        <v>1.7713522899999905</v>
      </c>
      <c r="Z83" s="9">
        <f t="shared" ref="Z83" si="30">Z77+Z79+Z80+Z81</f>
        <v>4.0760105300000049</v>
      </c>
      <c r="AA83" s="9">
        <f t="shared" ref="AA83:AK83" si="31">AA77+AA79+AA80+AA81</f>
        <v>-0.92079302000000141</v>
      </c>
      <c r="AB83" s="9">
        <f t="shared" si="31"/>
        <v>-1.8631484000000018</v>
      </c>
      <c r="AC83" s="9">
        <f t="shared" si="31"/>
        <v>5.6155939799999963</v>
      </c>
      <c r="AD83" s="9">
        <f t="shared" si="31"/>
        <v>7.0552956300000034</v>
      </c>
      <c r="AE83" s="9">
        <f t="shared" si="31"/>
        <v>4.227241109999996</v>
      </c>
      <c r="AF83" s="9">
        <f t="shared" si="31"/>
        <v>7.0976440099999962</v>
      </c>
      <c r="AG83" s="9">
        <f t="shared" si="31"/>
        <v>8.5173193500000046</v>
      </c>
      <c r="AH83" s="9">
        <f t="shared" si="31"/>
        <v>2.04820855</v>
      </c>
      <c r="AI83" s="9">
        <f t="shared" si="31"/>
        <v>3.4733969799999986</v>
      </c>
      <c r="AJ83" s="9">
        <f t="shared" si="31"/>
        <v>4.5812744300000059</v>
      </c>
      <c r="AK83" s="9">
        <f t="shared" si="31"/>
        <v>7.9861129199999947</v>
      </c>
    </row>
    <row r="84" spans="1:37" ht="4.5" customHeight="1" x14ac:dyDescent="0.35">
      <c r="A84" s="1">
        <v>25</v>
      </c>
      <c r="B84" s="41"/>
      <c r="C84" s="42">
        <f t="shared" si="18"/>
        <v>0</v>
      </c>
      <c r="D84" s="42">
        <f t="shared" si="14"/>
        <v>0</v>
      </c>
      <c r="E84" s="42"/>
      <c r="H84" s="41"/>
      <c r="I84" s="45"/>
      <c r="J84" s="45"/>
      <c r="K84" s="45"/>
      <c r="L84" s="45"/>
      <c r="M84" s="45"/>
      <c r="N84" s="45"/>
      <c r="O84" s="45"/>
      <c r="P84" s="45"/>
      <c r="Q84" s="42"/>
      <c r="R84" s="42"/>
      <c r="S84" s="42"/>
      <c r="T84" s="42"/>
      <c r="U84" s="42"/>
      <c r="V84" s="42"/>
      <c r="W84" s="42"/>
      <c r="X84" s="42"/>
      <c r="Y84" s="42"/>
      <c r="Z84" s="42"/>
      <c r="AA84" s="42"/>
      <c r="AB84" s="42"/>
      <c r="AC84" s="42"/>
      <c r="AD84" s="42"/>
      <c r="AE84" s="42"/>
      <c r="AF84" s="42"/>
      <c r="AG84" s="42"/>
      <c r="AH84" s="42"/>
      <c r="AI84" s="42"/>
      <c r="AJ84" s="42"/>
      <c r="AK84" s="42"/>
    </row>
    <row r="85" spans="1:37" x14ac:dyDescent="0.35">
      <c r="A85" s="1">
        <v>26</v>
      </c>
      <c r="B85" s="2" t="s">
        <v>68</v>
      </c>
      <c r="C85" s="9">
        <f t="shared" si="18"/>
        <v>19.736396670000005</v>
      </c>
      <c r="D85" s="9">
        <f t="shared" si="14"/>
        <v>16.934051869999994</v>
      </c>
      <c r="E85" s="38">
        <f>D85/C85-1</f>
        <v>-0.14198867436930218</v>
      </c>
      <c r="H85" s="2" t="s">
        <v>68</v>
      </c>
      <c r="I85" s="32"/>
      <c r="J85" s="32"/>
      <c r="K85" s="32"/>
      <c r="L85" s="32"/>
      <c r="M85" s="32"/>
      <c r="N85" s="32"/>
      <c r="O85" s="32"/>
      <c r="P85" s="32"/>
      <c r="Q85" s="9">
        <f t="shared" ref="Q85:W85" si="32">Q83-Q81</f>
        <v>16.722630229999996</v>
      </c>
      <c r="R85" s="9">
        <f t="shared" si="32"/>
        <v>9.1214044699999999</v>
      </c>
      <c r="S85" s="9">
        <f>S83-S81</f>
        <v>16.092304820000006</v>
      </c>
      <c r="T85" s="9">
        <f>T83-T81</f>
        <v>14.102576740000007</v>
      </c>
      <c r="U85" s="9">
        <f>U83-U81</f>
        <v>11.413736150000004</v>
      </c>
      <c r="V85" s="9">
        <f>V83-V81</f>
        <v>10.911691419999997</v>
      </c>
      <c r="W85" s="9">
        <f t="shared" si="32"/>
        <v>13.469644769999995</v>
      </c>
      <c r="X85" s="9">
        <f t="shared" ref="X85:Y85" si="33">X83-X81</f>
        <v>17.790658310000005</v>
      </c>
      <c r="Y85" s="9">
        <f t="shared" si="33"/>
        <v>9.9220379099999914</v>
      </c>
      <c r="Z85" s="9">
        <f t="shared" ref="Z85" si="34">Z83-Z81</f>
        <v>12.321331760000003</v>
      </c>
      <c r="AA85" s="9">
        <f t="shared" ref="AA85:AG85" si="35">AA83-AA81</f>
        <v>7.3580409999999983</v>
      </c>
      <c r="AB85" s="9">
        <f t="shared" si="35"/>
        <v>6.7242893699999993</v>
      </c>
      <c r="AC85" s="9">
        <f t="shared" si="35"/>
        <v>16.477185669999997</v>
      </c>
      <c r="AD85" s="9">
        <f t="shared" si="35"/>
        <v>18.472225720000001</v>
      </c>
      <c r="AE85" s="9">
        <f t="shared" si="35"/>
        <v>15.989242209999997</v>
      </c>
      <c r="AF85" s="9">
        <f t="shared" si="35"/>
        <v>18.991432969999998</v>
      </c>
      <c r="AG85" s="9">
        <f t="shared" si="35"/>
        <v>19.736396670000005</v>
      </c>
      <c r="AH85" s="9">
        <v>13.52670906</v>
      </c>
      <c r="AI85" s="9">
        <v>15.656362469999999</v>
      </c>
      <c r="AJ85" s="9">
        <f t="shared" ref="AJ85:AK85" si="36">AJ83-AJ81</f>
        <v>16.272895390000006</v>
      </c>
      <c r="AK85" s="9">
        <f t="shared" si="36"/>
        <v>16.934051869999994</v>
      </c>
    </row>
    <row r="86" spans="1:37" x14ac:dyDescent="0.35">
      <c r="W86" s="53"/>
    </row>
    <row r="87" spans="1:37" x14ac:dyDescent="0.35">
      <c r="W87" s="53"/>
      <c r="AJ87" s="53"/>
      <c r="AK87" s="53"/>
    </row>
    <row r="88" spans="1:37" ht="92.25" customHeight="1" x14ac:dyDescent="0.35">
      <c r="B88" s="102" t="s">
        <v>132</v>
      </c>
      <c r="C88" s="102"/>
      <c r="D88" s="102"/>
      <c r="E88" s="102"/>
      <c r="W88" s="53"/>
    </row>
    <row r="89" spans="1:37" x14ac:dyDescent="0.35">
      <c r="AG89" s="53"/>
      <c r="AH89" s="53"/>
      <c r="AI89" s="53"/>
      <c r="AJ89" s="53"/>
      <c r="AK89" s="53"/>
    </row>
    <row r="90" spans="1:37" ht="226.5" customHeight="1" x14ac:dyDescent="0.35">
      <c r="B90" s="102"/>
      <c r="C90" s="102"/>
      <c r="D90" s="102"/>
      <c r="E90" s="102"/>
      <c r="W90" s="53"/>
    </row>
    <row r="91" spans="1:37" x14ac:dyDescent="0.35">
      <c r="W91" s="54"/>
    </row>
  </sheetData>
  <mergeCells count="57">
    <mergeCell ref="B90:E90"/>
    <mergeCell ref="C37:C38"/>
    <mergeCell ref="D37:D38"/>
    <mergeCell ref="E37:E38"/>
    <mergeCell ref="C60:C61"/>
    <mergeCell ref="D60:D61"/>
    <mergeCell ref="B88:E88"/>
    <mergeCell ref="J60:J61"/>
    <mergeCell ref="K60:K61"/>
    <mergeCell ref="AJ7:AJ8"/>
    <mergeCell ref="AJ60:AJ61"/>
    <mergeCell ref="L60:L61"/>
    <mergeCell ref="M60:M61"/>
    <mergeCell ref="W60:W61"/>
    <mergeCell ref="AD60:AD61"/>
    <mergeCell ref="AC60:AC61"/>
    <mergeCell ref="AA60:AA61"/>
    <mergeCell ref="AB60:AB61"/>
    <mergeCell ref="Y60:Y61"/>
    <mergeCell ref="X60:X61"/>
    <mergeCell ref="W7:W8"/>
    <mergeCell ref="X7:X8"/>
    <mergeCell ref="Y7:Y8"/>
    <mergeCell ref="C7:C8"/>
    <mergeCell ref="D7:D8"/>
    <mergeCell ref="E7:E8"/>
    <mergeCell ref="U60:U61"/>
    <mergeCell ref="V60:V61"/>
    <mergeCell ref="E60:E61"/>
    <mergeCell ref="S60:S61"/>
    <mergeCell ref="T60:T61"/>
    <mergeCell ref="N60:N61"/>
    <mergeCell ref="O60:O61"/>
    <mergeCell ref="P60:P61"/>
    <mergeCell ref="Q60:Q61"/>
    <mergeCell ref="R60:R61"/>
    <mergeCell ref="I60:I61"/>
    <mergeCell ref="U7:U8"/>
    <mergeCell ref="V7:V8"/>
    <mergeCell ref="Z60:Z61"/>
    <mergeCell ref="AI7:AI8"/>
    <mergeCell ref="AI60:AI61"/>
    <mergeCell ref="AH7:AH8"/>
    <mergeCell ref="AH60:AH61"/>
    <mergeCell ref="AG7:AG8"/>
    <mergeCell ref="AG60:AG61"/>
    <mergeCell ref="Z7:Z8"/>
    <mergeCell ref="AA7:AA8"/>
    <mergeCell ref="AB7:AB8"/>
    <mergeCell ref="AC7:AC8"/>
    <mergeCell ref="AD7:AD8"/>
    <mergeCell ref="AK7:AK8"/>
    <mergeCell ref="AK60:AK61"/>
    <mergeCell ref="AF60:AF61"/>
    <mergeCell ref="AF7:AF8"/>
    <mergeCell ref="AE7:AE8"/>
    <mergeCell ref="AE60:AE61"/>
  </mergeCells>
  <pageMargins left="0.7" right="0.7" top="0.75" bottom="0.75" header="0.3" footer="0.3"/>
  <pageSetup orientation="portrait" r:id="rId1"/>
  <ignoredErrors>
    <ignoredError sqref="AB10 AB70" formula="1"/>
    <ignoredError sqref="C64:E85 D63:E63" evalError="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4:AP50"/>
  <sheetViews>
    <sheetView topLeftCell="B1" zoomScale="80" zoomScaleNormal="80" workbookViewId="0">
      <selection activeCell="B21" sqref="B21"/>
    </sheetView>
  </sheetViews>
  <sheetFormatPr baseColWidth="10" defaultColWidth="11.44140625" defaultRowHeight="14.4" x14ac:dyDescent="0.35"/>
  <cols>
    <col min="1" max="1" width="11.44140625" style="1" hidden="1" customWidth="1"/>
    <col min="2" max="2" width="57" style="1" customWidth="1"/>
    <col min="3" max="7" width="11.44140625" style="1"/>
    <col min="8" max="8" width="60.6640625" style="1" customWidth="1"/>
    <col min="9" max="20" width="11.44140625" style="1" customWidth="1"/>
    <col min="21" max="26" width="15" style="1" customWidth="1"/>
    <col min="27" max="36" width="11.44140625" style="1" customWidth="1"/>
    <col min="37" max="16384" width="11.44140625" style="1"/>
  </cols>
  <sheetData>
    <row r="4" spans="1:42" ht="23.4" x14ac:dyDescent="0.45">
      <c r="B4" s="12" t="s">
        <v>0</v>
      </c>
      <c r="C4" s="13"/>
      <c r="D4" s="13"/>
      <c r="E4" s="13"/>
      <c r="H4" s="12" t="s">
        <v>0</v>
      </c>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row>
    <row r="5" spans="1:42" ht="8.25" customHeight="1" x14ac:dyDescent="0.35"/>
    <row r="6" spans="1:42" x14ac:dyDescent="0.35">
      <c r="A6" s="1">
        <v>1</v>
      </c>
      <c r="B6" s="3" t="s">
        <v>96</v>
      </c>
      <c r="C6" s="99" t="s">
        <v>128</v>
      </c>
      <c r="D6" s="99" t="s">
        <v>143</v>
      </c>
      <c r="E6" s="99" t="s">
        <v>4</v>
      </c>
      <c r="H6" s="3" t="s">
        <v>96</v>
      </c>
      <c r="I6" s="99" t="s">
        <v>6</v>
      </c>
      <c r="J6" s="99" t="s">
        <v>7</v>
      </c>
      <c r="K6" s="99" t="s">
        <v>8</v>
      </c>
      <c r="L6" s="99" t="s">
        <v>9</v>
      </c>
      <c r="M6" s="99" t="s">
        <v>10</v>
      </c>
      <c r="N6" s="99" t="s">
        <v>11</v>
      </c>
      <c r="O6" s="99" t="s">
        <v>12</v>
      </c>
      <c r="P6" s="99" t="s">
        <v>13</v>
      </c>
      <c r="Q6" s="99" t="s">
        <v>14</v>
      </c>
      <c r="R6" s="99" t="s">
        <v>15</v>
      </c>
      <c r="S6" s="99" t="s">
        <v>16</v>
      </c>
      <c r="T6" s="99" t="s">
        <v>17</v>
      </c>
      <c r="U6" s="99" t="s">
        <v>18</v>
      </c>
      <c r="V6" s="99" t="s">
        <v>19</v>
      </c>
      <c r="W6" s="99" t="s">
        <v>20</v>
      </c>
      <c r="X6" s="99" t="s">
        <v>21</v>
      </c>
      <c r="Y6" s="99" t="s">
        <v>22</v>
      </c>
      <c r="Z6" s="99" t="s">
        <v>23</v>
      </c>
      <c r="AA6" s="99" t="s">
        <v>24</v>
      </c>
      <c r="AB6" s="99" t="s">
        <v>2</v>
      </c>
      <c r="AC6" s="99" t="s">
        <v>25</v>
      </c>
      <c r="AD6" s="99" t="s">
        <v>26</v>
      </c>
      <c r="AE6" s="99" t="s">
        <v>27</v>
      </c>
      <c r="AF6" s="99" t="s">
        <v>3</v>
      </c>
      <c r="AG6" s="99" t="s">
        <v>128</v>
      </c>
      <c r="AH6" s="99" t="s">
        <v>130</v>
      </c>
      <c r="AI6" s="99" t="s">
        <v>139</v>
      </c>
      <c r="AJ6" s="99" t="s">
        <v>141</v>
      </c>
      <c r="AK6" s="99" t="s">
        <v>143</v>
      </c>
    </row>
    <row r="7" spans="1:42" x14ac:dyDescent="0.35">
      <c r="A7" s="1">
        <v>2</v>
      </c>
      <c r="B7" s="3" t="s">
        <v>52</v>
      </c>
      <c r="C7" s="99"/>
      <c r="D7" s="99"/>
      <c r="E7" s="99"/>
      <c r="H7" s="3" t="s">
        <v>52</v>
      </c>
      <c r="I7" s="99"/>
      <c r="J7" s="99"/>
      <c r="K7" s="99"/>
      <c r="L7" s="99"/>
      <c r="M7" s="99"/>
      <c r="N7" s="99"/>
      <c r="O7" s="99"/>
      <c r="P7" s="99"/>
      <c r="Q7" s="99"/>
      <c r="R7" s="99"/>
      <c r="S7" s="99"/>
      <c r="T7" s="99"/>
      <c r="U7" s="99"/>
      <c r="V7" s="99"/>
      <c r="W7" s="99"/>
      <c r="X7" s="99"/>
      <c r="Y7" s="99"/>
      <c r="Z7" s="99"/>
      <c r="AA7" s="99"/>
      <c r="AB7" s="99"/>
      <c r="AC7" s="99"/>
      <c r="AD7" s="99"/>
      <c r="AE7" s="99"/>
      <c r="AF7" s="99"/>
      <c r="AG7" s="99"/>
      <c r="AH7" s="99"/>
      <c r="AI7" s="99"/>
      <c r="AJ7" s="99"/>
      <c r="AK7" s="99"/>
    </row>
    <row r="8" spans="1:42" ht="5.25" customHeight="1" x14ac:dyDescent="0.35">
      <c r="A8" s="1">
        <v>3</v>
      </c>
    </row>
    <row r="9" spans="1:42" x14ac:dyDescent="0.35">
      <c r="A9" s="1">
        <v>4</v>
      </c>
      <c r="B9" s="5" t="s">
        <v>69</v>
      </c>
      <c r="C9" s="8">
        <f>+HLOOKUP($C$6,$H$6:$AU$23,A9,FALSE)</f>
        <v>5.0345027899999995</v>
      </c>
      <c r="D9" s="8">
        <f>+HLOOKUP($D$6,$H$6:$AU$23,A9,FALSE)</f>
        <v>1.2344813399999999</v>
      </c>
      <c r="E9" s="36">
        <f>+D9/C9-1</f>
        <v>-0.75479577795605912</v>
      </c>
      <c r="H9" s="5" t="s">
        <v>69</v>
      </c>
      <c r="I9" s="8">
        <v>1.4662270099999999</v>
      </c>
      <c r="J9" s="8">
        <v>1.1757188900000002</v>
      </c>
      <c r="K9" s="8">
        <v>1.7353684800000002</v>
      </c>
      <c r="L9" s="8">
        <v>1.1839040000000001</v>
      </c>
      <c r="M9" s="8">
        <v>0.95460129000000005</v>
      </c>
      <c r="N9" s="8">
        <v>1.11481557</v>
      </c>
      <c r="O9" s="8">
        <v>1.42294038</v>
      </c>
      <c r="P9" s="8">
        <v>2.02492457</v>
      </c>
      <c r="Q9" s="8">
        <v>2.5239263000000003</v>
      </c>
      <c r="R9" s="8">
        <v>2.6392289799999999</v>
      </c>
      <c r="S9" s="8">
        <v>1.97991607</v>
      </c>
      <c r="T9" s="8">
        <v>2.3358944199999998</v>
      </c>
      <c r="U9" s="8">
        <v>2.4035590900000003</v>
      </c>
      <c r="V9" s="8">
        <v>2.6319862900000004</v>
      </c>
      <c r="W9" s="8">
        <v>3.0199921999999999</v>
      </c>
      <c r="X9" s="8">
        <v>4.0376973799999991</v>
      </c>
      <c r="Y9" s="8">
        <v>4.6344836200000001</v>
      </c>
      <c r="Z9" s="8">
        <v>4.2783687300000004</v>
      </c>
      <c r="AA9" s="8">
        <v>4.7103349699999999</v>
      </c>
      <c r="AB9" s="8">
        <f>6.01289806-AB33</f>
        <v>5.7128980600000006</v>
      </c>
      <c r="AC9" s="8">
        <f>6.38418633-AC33</f>
        <v>6.2427841200000005</v>
      </c>
      <c r="AD9" s="8">
        <v>4.8234028599999998</v>
      </c>
      <c r="AE9" s="8">
        <f>4.91729925-AE33</f>
        <v>4.8143698200000005</v>
      </c>
      <c r="AF9" s="8">
        <v>5.6272245399999994</v>
      </c>
      <c r="AG9" s="8">
        <v>5.0345027899999995</v>
      </c>
      <c r="AH9" s="8">
        <f>2.96507997-AH33</f>
        <v>2.84445215</v>
      </c>
      <c r="AI9" s="8">
        <f>1.77239862-AI33</f>
        <v>1.4703623100000001</v>
      </c>
      <c r="AJ9" s="8">
        <f>1.47030009-AJ33</f>
        <v>1.31337612</v>
      </c>
      <c r="AK9" s="8">
        <f>1.29118209-AK33</f>
        <v>1.2344813399999999</v>
      </c>
    </row>
    <row r="10" spans="1:42" x14ac:dyDescent="0.35">
      <c r="A10" s="1">
        <v>5</v>
      </c>
      <c r="B10" s="5" t="s">
        <v>70</v>
      </c>
      <c r="C10" s="8">
        <f t="shared" ref="C10:C23" si="0">+HLOOKUP($C$6,$H$6:$AU$23,A10,FALSE)</f>
        <v>-22.52007699</v>
      </c>
      <c r="D10" s="8">
        <f t="shared" ref="D10:D23" si="1">+HLOOKUP($D$6,$H$6:$AU$23,A10,FALSE)</f>
        <v>-15.563348398480999</v>
      </c>
      <c r="E10" s="36">
        <f t="shared" ref="E10:E13" si="2">+D10/C10-1</f>
        <v>-0.30891229166792478</v>
      </c>
      <c r="H10" s="5" t="s">
        <v>70</v>
      </c>
      <c r="I10" s="8">
        <v>-10.626635870000003</v>
      </c>
      <c r="J10" s="8">
        <v>-18.906711529999999</v>
      </c>
      <c r="K10" s="8">
        <v>-22.234989130000002</v>
      </c>
      <c r="L10" s="8">
        <v>-24.200978769999999</v>
      </c>
      <c r="M10" s="8">
        <v>-22.225827200000001</v>
      </c>
      <c r="N10" s="8">
        <v>-22.659230260000001</v>
      </c>
      <c r="O10" s="8">
        <v>-22.1827258</v>
      </c>
      <c r="P10" s="8">
        <v>-23.468063270000012</v>
      </c>
      <c r="Q10" s="8">
        <v>-21.995525559999994</v>
      </c>
      <c r="R10" s="8">
        <v>-29.405213699999994</v>
      </c>
      <c r="S10" s="8">
        <v>-20.349421719999999</v>
      </c>
      <c r="T10" s="8">
        <v>-17.031099160000004</v>
      </c>
      <c r="U10" s="8">
        <v>-17.078348720000001</v>
      </c>
      <c r="V10" s="8">
        <v>-16.949563600000001</v>
      </c>
      <c r="W10" s="8">
        <v>-18.106198549999998</v>
      </c>
      <c r="X10" s="8">
        <v>-18.049542049999999</v>
      </c>
      <c r="Y10" s="8">
        <v>-16.651068130000002</v>
      </c>
      <c r="Z10" s="8">
        <v>-16.379844120000001</v>
      </c>
      <c r="AA10" s="8">
        <v>-16.317024100000001</v>
      </c>
      <c r="AB10" s="8">
        <f>+-20.77659963-AB34</f>
        <v>-16.176599629999998</v>
      </c>
      <c r="AC10" s="8">
        <f>+-22.87158708-AC34</f>
        <v>-18.271972760000001</v>
      </c>
      <c r="AD10" s="8">
        <v>-16.063149940000002</v>
      </c>
      <c r="AE10" s="8">
        <f>+-22.90039531-AE34</f>
        <v>-15.867734390000001</v>
      </c>
      <c r="AF10" s="8">
        <v>-15.93443744</v>
      </c>
      <c r="AG10" s="8">
        <v>-22.52007699</v>
      </c>
      <c r="AH10" s="8">
        <f>+-22.69825814-AH34</f>
        <v>-16.0913121</v>
      </c>
      <c r="AI10" s="8">
        <f>-22.93371934-AI34</f>
        <v>-15.99297938</v>
      </c>
      <c r="AJ10" s="8">
        <f>+-22.3071621318032-AJ34</f>
        <v>-15.8623332918032</v>
      </c>
      <c r="AK10" s="8">
        <f>+-22.189419768481-AK34</f>
        <v>-15.563348398480999</v>
      </c>
    </row>
    <row r="11" spans="1:42" x14ac:dyDescent="0.35">
      <c r="A11" s="1">
        <v>6</v>
      </c>
      <c r="B11" s="5" t="s">
        <v>71</v>
      </c>
      <c r="C11" s="8">
        <f t="shared" si="0"/>
        <v>-4.8135680699999979</v>
      </c>
      <c r="D11" s="8">
        <f t="shared" si="1"/>
        <v>-1.7878934124971002</v>
      </c>
      <c r="E11" s="95">
        <f t="shared" si="2"/>
        <v>-0.62857211397093615</v>
      </c>
      <c r="H11" s="5" t="s">
        <v>71</v>
      </c>
      <c r="I11" s="8">
        <v>-8.8651856400000035</v>
      </c>
      <c r="J11" s="8">
        <v>-4.3334364300000034</v>
      </c>
      <c r="K11" s="8">
        <v>-4.3586822799999982</v>
      </c>
      <c r="L11" s="8">
        <v>-4.8634491599999947</v>
      </c>
      <c r="M11" s="8">
        <v>0.40925101999999863</v>
      </c>
      <c r="N11" s="8">
        <v>9.0239089999998218E-2</v>
      </c>
      <c r="O11" s="8">
        <v>-11.379597659999998</v>
      </c>
      <c r="P11" s="8">
        <v>-0.28029470999999839</v>
      </c>
      <c r="Q11" s="8">
        <v>1.6776827199999993</v>
      </c>
      <c r="R11" s="8">
        <v>1.8926907599999989</v>
      </c>
      <c r="S11" s="8">
        <v>0.6660450100000006</v>
      </c>
      <c r="T11" s="8">
        <v>-2.1365888599999994</v>
      </c>
      <c r="U11" s="8">
        <v>-1.1568363599999962</v>
      </c>
      <c r="V11" s="8">
        <v>0.97049637000000044</v>
      </c>
      <c r="W11" s="8">
        <v>2.7896323000000032</v>
      </c>
      <c r="X11" s="8">
        <v>3.2934243999999993</v>
      </c>
      <c r="Y11" s="8">
        <v>-0.92194750000000047</v>
      </c>
      <c r="Z11" s="8">
        <v>-6.2046905200000015</v>
      </c>
      <c r="AA11" s="8">
        <v>-1.2370830100000005</v>
      </c>
      <c r="AB11" s="8">
        <f>+-3.07027684-AB35</f>
        <v>-2.3702768399999998</v>
      </c>
      <c r="AC11" s="8">
        <f>1.26233637-AC35</f>
        <v>0.51242419000000017</v>
      </c>
      <c r="AD11" s="8">
        <v>0.56314343000000178</v>
      </c>
      <c r="AE11" s="8">
        <f>+-7.7517799-AE35</f>
        <v>-6.7136207399999996</v>
      </c>
      <c r="AF11" s="8">
        <v>-2.4574157799999981</v>
      </c>
      <c r="AG11" s="8">
        <v>-4.8135680699999979</v>
      </c>
      <c r="AH11" s="8">
        <f>4.90670248-AH35</f>
        <v>6.4015687899999998</v>
      </c>
      <c r="AI11" s="8">
        <f>2.12866110999999-AI35</f>
        <v>2.3133282699999902</v>
      </c>
      <c r="AJ11" s="8">
        <f>3.48765462486777-AJ35</f>
        <v>3.6742374048677702</v>
      </c>
      <c r="AK11" s="8">
        <f>+-2.8008947524971-AK35</f>
        <v>-1.7878934124971002</v>
      </c>
    </row>
    <row r="12" spans="1:42" x14ac:dyDescent="0.35">
      <c r="A12" s="1">
        <v>7</v>
      </c>
      <c r="B12" s="5" t="s">
        <v>72</v>
      </c>
      <c r="C12" s="8">
        <f t="shared" si="0"/>
        <v>2.3433842899999999</v>
      </c>
      <c r="D12" s="8">
        <f t="shared" si="1"/>
        <v>1.37134892</v>
      </c>
      <c r="E12" s="36">
        <f t="shared" si="2"/>
        <v>-0.41479981501454888</v>
      </c>
      <c r="H12" s="5" t="s">
        <v>72</v>
      </c>
      <c r="I12" s="8">
        <v>1.3290894200000001</v>
      </c>
      <c r="J12" s="8">
        <v>1.5853836699999999</v>
      </c>
      <c r="K12" s="8">
        <v>0.97654169999999996</v>
      </c>
      <c r="L12" s="8">
        <v>-103.20577056</v>
      </c>
      <c r="M12" s="8">
        <v>1.4798667200000002</v>
      </c>
      <c r="N12" s="8">
        <v>1.6878022100000001</v>
      </c>
      <c r="O12" s="8">
        <v>2.3139469400000001</v>
      </c>
      <c r="P12" s="8">
        <v>1.1384796700000002</v>
      </c>
      <c r="Q12" s="8">
        <v>1.3951977900000001</v>
      </c>
      <c r="R12" s="8">
        <v>1.6620992699999999</v>
      </c>
      <c r="S12" s="8">
        <v>1.4309245900000001</v>
      </c>
      <c r="T12" s="8">
        <v>0.92597229999999997</v>
      </c>
      <c r="U12" s="8">
        <v>0.73980449999999998</v>
      </c>
      <c r="V12" s="8">
        <v>1.1078972599999999</v>
      </c>
      <c r="W12" s="8">
        <v>1.2924579299999999</v>
      </c>
      <c r="X12" s="8">
        <v>-0.23659015999999999</v>
      </c>
      <c r="Y12" s="8">
        <v>4.6503776200000004</v>
      </c>
      <c r="Z12" s="8">
        <v>2.09918505</v>
      </c>
      <c r="AA12" s="8">
        <v>2.82230545</v>
      </c>
      <c r="AB12" s="8">
        <f>1.81704674-AB36</f>
        <v>2.1170467400000001</v>
      </c>
      <c r="AC12" s="8">
        <v>2.2436588</v>
      </c>
      <c r="AD12" s="8">
        <v>2.5646927799999997</v>
      </c>
      <c r="AE12" s="8">
        <v>2.1804517300000001</v>
      </c>
      <c r="AF12" s="8">
        <v>2.0129498799999999</v>
      </c>
      <c r="AG12" s="8">
        <v>2.3433842899999999</v>
      </c>
      <c r="AH12" s="8">
        <v>2.14213787</v>
      </c>
      <c r="AI12" s="8">
        <v>2.18435165</v>
      </c>
      <c r="AJ12" s="8">
        <v>3.2800220100000002</v>
      </c>
      <c r="AK12" s="8">
        <v>1.37134892</v>
      </c>
    </row>
    <row r="13" spans="1:42" x14ac:dyDescent="0.35">
      <c r="A13" s="1">
        <v>8</v>
      </c>
      <c r="B13" s="5" t="s">
        <v>73</v>
      </c>
      <c r="C13" s="8">
        <f t="shared" si="0"/>
        <v>-29.421527419999997</v>
      </c>
      <c r="D13" s="8">
        <f t="shared" si="1"/>
        <v>-21.3322415620468</v>
      </c>
      <c r="E13" s="36">
        <f t="shared" si="2"/>
        <v>-0.27494445623017882</v>
      </c>
      <c r="H13" s="5" t="s">
        <v>73</v>
      </c>
      <c r="I13" s="8">
        <v>7.6787009399999997</v>
      </c>
      <c r="J13" s="8">
        <v>-0.6349095800000002</v>
      </c>
      <c r="K13" s="8">
        <v>1.5550089300000001</v>
      </c>
      <c r="L13" s="8">
        <v>-10.01893578</v>
      </c>
      <c r="M13" s="8">
        <v>-0.86712882999999974</v>
      </c>
      <c r="N13" s="8">
        <v>-3.8732335000000004</v>
      </c>
      <c r="O13" s="8">
        <v>10.518928080000002</v>
      </c>
      <c r="P13" s="8">
        <v>-6.9999426499999995</v>
      </c>
      <c r="Q13" s="8">
        <v>-0.57909954999999991</v>
      </c>
      <c r="R13" s="8">
        <v>-3.5300810800000009</v>
      </c>
      <c r="S13" s="8">
        <v>-0.45134172000000006</v>
      </c>
      <c r="T13" s="8">
        <v>-9.0108974999999987</v>
      </c>
      <c r="U13" s="8">
        <v>-4.5125797099999998</v>
      </c>
      <c r="V13" s="8">
        <v>14.862204890000001</v>
      </c>
      <c r="W13" s="8">
        <v>-3.5680980999999998</v>
      </c>
      <c r="X13" s="8">
        <v>-91.652864159999993</v>
      </c>
      <c r="Y13" s="8">
        <v>-4.1548844699999998</v>
      </c>
      <c r="Z13" s="8">
        <v>-9.2554299900000014</v>
      </c>
      <c r="AA13" s="8">
        <v>-4.7160856799999999</v>
      </c>
      <c r="AB13" s="8">
        <v>-34.22733968</v>
      </c>
      <c r="AC13" s="8">
        <f>+-4.51412636-AC36</f>
        <v>-5.9547356499999999</v>
      </c>
      <c r="AD13" s="8">
        <v>-9.8854343699999987</v>
      </c>
      <c r="AE13" s="8">
        <f>+-9.97992889-AE36</f>
        <v>-7.72404622</v>
      </c>
      <c r="AF13" s="8">
        <v>-82.605248800000012</v>
      </c>
      <c r="AG13" s="8">
        <v>-29.421527419999997</v>
      </c>
      <c r="AH13" s="8">
        <f>+-9.42644867-AH36</f>
        <v>-8.2086153999999993</v>
      </c>
      <c r="AI13" s="8">
        <f>+-7.9983525-AI36</f>
        <v>-8.3186008599999983</v>
      </c>
      <c r="AJ13" s="8">
        <f>+-193.31770803-AJ36</f>
        <v>-13.078110480000021</v>
      </c>
      <c r="AK13" s="8">
        <f>+-21.5381204620468-AK36</f>
        <v>-21.3322415620468</v>
      </c>
      <c r="AN13" s="92"/>
      <c r="AO13" s="92"/>
      <c r="AP13" s="92"/>
    </row>
    <row r="14" spans="1:42" ht="5.25" customHeight="1" x14ac:dyDescent="0.35">
      <c r="A14" s="1">
        <v>9</v>
      </c>
      <c r="E14" s="39"/>
    </row>
    <row r="15" spans="1:42" x14ac:dyDescent="0.35">
      <c r="A15" s="1">
        <v>10</v>
      </c>
      <c r="B15" s="6" t="s">
        <v>74</v>
      </c>
      <c r="C15" s="9">
        <f t="shared" si="0"/>
        <v>-49.377285399999998</v>
      </c>
      <c r="D15" s="9">
        <f t="shared" si="1"/>
        <v>-36.077653113024901</v>
      </c>
      <c r="E15" s="38">
        <f>D15/C15-1</f>
        <v>-0.2693471740950566</v>
      </c>
      <c r="H15" s="6" t="s">
        <v>74</v>
      </c>
      <c r="I15" s="9">
        <v>-6.6308545700000083</v>
      </c>
      <c r="J15" s="9">
        <v>-17.834364060000002</v>
      </c>
      <c r="K15" s="9">
        <v>-21.318247579999998</v>
      </c>
      <c r="L15" s="9">
        <v>-138.73017600999998</v>
      </c>
      <c r="M15" s="9">
        <v>-20.192410980000002</v>
      </c>
      <c r="N15" s="9">
        <v>-22.432699890000002</v>
      </c>
      <c r="O15" s="9">
        <v>-18.421275529999996</v>
      </c>
      <c r="P15" s="9">
        <v>-27.308815910000014</v>
      </c>
      <c r="Q15" s="9">
        <v>-16.977818299999992</v>
      </c>
      <c r="R15" s="9">
        <v>-26.800124760000003</v>
      </c>
      <c r="S15" s="9">
        <v>-16.719940419999993</v>
      </c>
      <c r="T15" s="9">
        <v>-24.917197690000002</v>
      </c>
      <c r="U15" s="9">
        <v>-19.604401199999995</v>
      </c>
      <c r="V15" s="9">
        <v>2.623021210000001</v>
      </c>
      <c r="W15" s="9">
        <v>-14.572214219999999</v>
      </c>
      <c r="X15" s="9">
        <v>-102.60787458999999</v>
      </c>
      <c r="Y15" s="9">
        <f t="shared" ref="Y15:AH15" si="3">SUM(Y9:Y13)</f>
        <v>-12.443038860000001</v>
      </c>
      <c r="Z15" s="9">
        <f t="shared" si="3"/>
        <v>-25.462410850000005</v>
      </c>
      <c r="AA15" s="9">
        <f t="shared" si="3"/>
        <v>-14.737552370000003</v>
      </c>
      <c r="AB15" s="9">
        <f t="shared" si="3"/>
        <v>-44.944271349999994</v>
      </c>
      <c r="AC15" s="9">
        <f>SUM(AC9:AC13)</f>
        <v>-15.2278413</v>
      </c>
      <c r="AD15" s="9">
        <f t="shared" si="3"/>
        <v>-17.997345240000001</v>
      </c>
      <c r="AE15" s="9">
        <f t="shared" si="3"/>
        <v>-23.310579799999999</v>
      </c>
      <c r="AF15" s="9">
        <f t="shared" si="3"/>
        <v>-93.356927600000006</v>
      </c>
      <c r="AG15" s="9">
        <f>SUM(AG9:AG13)</f>
        <v>-49.377285399999998</v>
      </c>
      <c r="AH15" s="9">
        <f t="shared" si="3"/>
        <v>-12.911768689999999</v>
      </c>
      <c r="AI15" s="9">
        <f>SUM(AI9:AI13)</f>
        <v>-18.343538010000007</v>
      </c>
      <c r="AJ15" s="9">
        <f>SUM(AJ9:AJ13)</f>
        <v>-20.672808236935449</v>
      </c>
      <c r="AK15" s="9">
        <f>SUM(AK9:AK13)</f>
        <v>-36.077653113024901</v>
      </c>
    </row>
    <row r="16" spans="1:42" ht="5.25" customHeight="1" x14ac:dyDescent="0.35">
      <c r="A16" s="1">
        <v>11</v>
      </c>
      <c r="E16" s="39"/>
    </row>
    <row r="17" spans="1:37" x14ac:dyDescent="0.35">
      <c r="A17" s="1">
        <v>12</v>
      </c>
      <c r="B17" s="6" t="s">
        <v>75</v>
      </c>
      <c r="C17" s="9">
        <f t="shared" si="0"/>
        <v>63.109089509999997</v>
      </c>
      <c r="D17" s="9">
        <f t="shared" si="1"/>
        <v>37.867890736447201</v>
      </c>
      <c r="E17" s="38">
        <f>D17/C17-1</f>
        <v>-0.39996138384397362</v>
      </c>
      <c r="H17" s="6" t="s">
        <v>75</v>
      </c>
      <c r="I17" s="9">
        <v>71.170038330000011</v>
      </c>
      <c r="J17" s="9">
        <v>76.810161420000014</v>
      </c>
      <c r="K17" s="9">
        <v>49.311618929999987</v>
      </c>
      <c r="L17" s="9">
        <v>-27.623299349999996</v>
      </c>
      <c r="M17" s="9">
        <v>25.133030360000038</v>
      </c>
      <c r="N17" s="9">
        <v>65.548682040000045</v>
      </c>
      <c r="O17" s="9">
        <v>113.60699054999998</v>
      </c>
      <c r="P17" s="9">
        <v>95.746828170000015</v>
      </c>
      <c r="Q17" s="9">
        <v>88.66899841</v>
      </c>
      <c r="R17" s="9">
        <v>68.086533309999965</v>
      </c>
      <c r="S17" s="9">
        <v>40.708289729999997</v>
      </c>
      <c r="T17" s="9">
        <v>66.803174149999961</v>
      </c>
      <c r="U17" s="9">
        <v>72.245809979999947</v>
      </c>
      <c r="V17" s="9">
        <v>97.849836280000019</v>
      </c>
      <c r="W17" s="9">
        <v>94.273412179999951</v>
      </c>
      <c r="X17" s="9">
        <v>48.758042970000048</v>
      </c>
      <c r="Y17" s="9">
        <v>90.744920930000035</v>
      </c>
      <c r="Z17" s="9">
        <v>65.639307059999965</v>
      </c>
      <c r="AA17" s="9">
        <v>83.029694280000029</v>
      </c>
      <c r="AB17" s="9">
        <f>99.94054904-AB40</f>
        <v>97.254436119999994</v>
      </c>
      <c r="AC17" s="9">
        <f>85.56234492-AC40</f>
        <v>83.69173524</v>
      </c>
      <c r="AD17" s="9">
        <v>81.263724620000033</v>
      </c>
      <c r="AE17" s="9">
        <f>81.32811843-AE40</f>
        <v>87.324650640000002</v>
      </c>
      <c r="AF17" s="9">
        <v>21.793171331313715</v>
      </c>
      <c r="AG17" s="9">
        <f>62.3968582-AG40</f>
        <v>63.109089509999997</v>
      </c>
      <c r="AH17" s="9">
        <f>72.1701592-AH40</f>
        <v>79.320968449999995</v>
      </c>
      <c r="AI17" s="9">
        <f>88.03666669-AI40</f>
        <v>91.066392160000007</v>
      </c>
      <c r="AJ17" s="9">
        <f>+-90.3962678490674-AJ40</f>
        <v>91.736542920932564</v>
      </c>
      <c r="AK17" s="9">
        <f>38.0623140364472-AK40</f>
        <v>37.867890736447201</v>
      </c>
    </row>
    <row r="18" spans="1:37" ht="5.25" customHeight="1" x14ac:dyDescent="0.35">
      <c r="A18" s="1">
        <v>13</v>
      </c>
      <c r="E18" s="39"/>
    </row>
    <row r="19" spans="1:37" x14ac:dyDescent="0.35">
      <c r="A19" s="1">
        <v>14</v>
      </c>
      <c r="B19" s="5" t="s">
        <v>76</v>
      </c>
      <c r="C19" s="8">
        <f t="shared" si="0"/>
        <v>-16.086163970000001</v>
      </c>
      <c r="D19" s="8">
        <f t="shared" si="1"/>
        <v>-74.396957033875495</v>
      </c>
      <c r="E19" s="49" t="s">
        <v>44</v>
      </c>
      <c r="H19" s="5" t="s">
        <v>76</v>
      </c>
      <c r="I19" s="8">
        <v>-19.63363708</v>
      </c>
      <c r="J19" s="8">
        <v>-5.2345776500000003</v>
      </c>
      <c r="K19" s="8">
        <v>-31.107243130000001</v>
      </c>
      <c r="L19" s="8">
        <v>-53.664444459999999</v>
      </c>
      <c r="M19" s="8">
        <v>-18.16355287</v>
      </c>
      <c r="N19" s="8">
        <v>-15.449120819999997</v>
      </c>
      <c r="O19" s="8">
        <v>-37.890691470000007</v>
      </c>
      <c r="P19" s="8">
        <v>-28.099890070000001</v>
      </c>
      <c r="Q19" s="8">
        <v>-20.475529990000002</v>
      </c>
      <c r="R19" s="8">
        <v>-15.959445620000002</v>
      </c>
      <c r="S19" s="8">
        <v>-10.37750636</v>
      </c>
      <c r="T19" s="8">
        <v>-20.138336279999997</v>
      </c>
      <c r="U19" s="8">
        <v>-19.51456001</v>
      </c>
      <c r="V19" s="8">
        <v>-18.404707349999999</v>
      </c>
      <c r="W19" s="8">
        <v>-24.271699469999998</v>
      </c>
      <c r="X19" s="8">
        <v>24.603435990000001</v>
      </c>
      <c r="Y19" s="8">
        <v>-24.868095619999998</v>
      </c>
      <c r="Z19" s="8">
        <v>-17.507565499999998</v>
      </c>
      <c r="AA19" s="8">
        <v>-23.21371285</v>
      </c>
      <c r="AB19" s="8">
        <f>+-32.56690244-AB42</f>
        <v>-31.166902440000001</v>
      </c>
      <c r="AC19" s="8">
        <v>-22.319179689999999</v>
      </c>
      <c r="AD19" s="8">
        <v>-20.05861646</v>
      </c>
      <c r="AE19" s="8">
        <v>-23.721098949999998</v>
      </c>
      <c r="AF19" s="8">
        <v>-4.9040871400000006</v>
      </c>
      <c r="AG19" s="8">
        <v>-16.086163970000001</v>
      </c>
      <c r="AH19" s="8">
        <v>-20.604219349999997</v>
      </c>
      <c r="AI19" s="8">
        <v>-24.01398945</v>
      </c>
      <c r="AJ19" s="8">
        <f>27.5181410060612-AJ42</f>
        <v>-25.436300393938801</v>
      </c>
      <c r="AK19" s="8">
        <f>+-79.2784275638755-AK42</f>
        <v>-74.396957033875495</v>
      </c>
    </row>
    <row r="20" spans="1:37" ht="5.25" customHeight="1" x14ac:dyDescent="0.35">
      <c r="A20" s="1">
        <v>15</v>
      </c>
      <c r="E20" s="39"/>
    </row>
    <row r="21" spans="1:37" x14ac:dyDescent="0.35">
      <c r="A21" s="1">
        <v>16</v>
      </c>
      <c r="B21" s="3" t="s">
        <v>77</v>
      </c>
      <c r="C21" s="10">
        <f t="shared" si="0"/>
        <v>47.022925539999996</v>
      </c>
      <c r="D21" s="10">
        <f t="shared" si="1"/>
        <v>-36.529066297428194</v>
      </c>
      <c r="E21" s="51" t="s">
        <v>44</v>
      </c>
      <c r="H21" s="3" t="s">
        <v>77</v>
      </c>
      <c r="I21" s="17">
        <v>51.536401250000011</v>
      </c>
      <c r="J21" s="17">
        <v>71.575583770000009</v>
      </c>
      <c r="K21" s="17">
        <v>18.204375799999987</v>
      </c>
      <c r="L21" s="17">
        <v>-81.287743809999995</v>
      </c>
      <c r="M21" s="17">
        <v>6.9694774900000382</v>
      </c>
      <c r="N21" s="17">
        <v>50.099561220000048</v>
      </c>
      <c r="O21" s="17">
        <v>75.71629907999997</v>
      </c>
      <c r="P21" s="17">
        <v>67.646938100000014</v>
      </c>
      <c r="Q21" s="17">
        <v>68.193468420000002</v>
      </c>
      <c r="R21" s="17">
        <v>52.127087689999961</v>
      </c>
      <c r="S21" s="17">
        <v>30.330783369999999</v>
      </c>
      <c r="T21" s="17">
        <v>46.664837869999964</v>
      </c>
      <c r="U21" s="17">
        <f>+U17+U19</f>
        <v>52.731249969999951</v>
      </c>
      <c r="V21" s="17">
        <f t="shared" ref="V21:AB21" si="4">+V17+V19</f>
        <v>79.445128930000024</v>
      </c>
      <c r="W21" s="17">
        <f t="shared" si="4"/>
        <v>70.00171270999995</v>
      </c>
      <c r="X21" s="17">
        <f t="shared" si="4"/>
        <v>73.361478960000056</v>
      </c>
      <c r="Y21" s="17">
        <f t="shared" si="4"/>
        <v>65.876825310000044</v>
      </c>
      <c r="Z21" s="17">
        <f t="shared" si="4"/>
        <v>48.131741559999966</v>
      </c>
      <c r="AA21" s="17">
        <f t="shared" si="4"/>
        <v>59.815981430000029</v>
      </c>
      <c r="AB21" s="17">
        <f t="shared" si="4"/>
        <v>66.087533679999993</v>
      </c>
      <c r="AC21" s="17">
        <f>+AC17+AC19</f>
        <v>61.372555550000001</v>
      </c>
      <c r="AD21" s="17">
        <f t="shared" ref="AD21:AG21" si="5">+AD17+AD19</f>
        <v>61.205108160000037</v>
      </c>
      <c r="AE21" s="17">
        <f t="shared" si="5"/>
        <v>63.603551690000003</v>
      </c>
      <c r="AF21" s="17">
        <f t="shared" si="5"/>
        <v>16.889084191313714</v>
      </c>
      <c r="AG21" s="17">
        <f t="shared" si="5"/>
        <v>47.022925539999996</v>
      </c>
      <c r="AH21" s="17">
        <f>+AH17+AH19</f>
        <v>58.716749100000001</v>
      </c>
      <c r="AI21" s="17">
        <f>62.20715213-AI46</f>
        <v>64.605734240000004</v>
      </c>
      <c r="AJ21" s="17">
        <f t="shared" ref="AJ21" si="6">+AJ17+AJ19</f>
        <v>66.30024252699377</v>
      </c>
      <c r="AK21" s="17">
        <f>+-41.2161135274282-AK44</f>
        <v>-36.529066297428194</v>
      </c>
    </row>
    <row r="22" spans="1:37" ht="5.25" customHeight="1" x14ac:dyDescent="0.35">
      <c r="A22" s="1">
        <v>17</v>
      </c>
      <c r="E22" s="39"/>
    </row>
    <row r="23" spans="1:37" x14ac:dyDescent="0.35">
      <c r="A23" s="1">
        <v>18</v>
      </c>
      <c r="B23" s="5" t="s">
        <v>78</v>
      </c>
      <c r="C23" s="8">
        <f t="shared" si="0"/>
        <v>43.699793619999994</v>
      </c>
      <c r="D23" s="8">
        <f t="shared" si="1"/>
        <v>-38.892376677428295</v>
      </c>
      <c r="E23" s="49" t="s">
        <v>44</v>
      </c>
      <c r="H23" s="5" t="s">
        <v>78</v>
      </c>
      <c r="I23" s="8">
        <v>51.536401250000011</v>
      </c>
      <c r="J23" s="8">
        <v>71.575583770000009</v>
      </c>
      <c r="K23" s="8">
        <v>18.204375799999987</v>
      </c>
      <c r="L23" s="8">
        <v>-81.287743809999995</v>
      </c>
      <c r="M23" s="8">
        <v>6.9694774900000382</v>
      </c>
      <c r="N23" s="8">
        <v>50.099561220000048</v>
      </c>
      <c r="O23" s="8">
        <v>75.71629907999997</v>
      </c>
      <c r="P23" s="8">
        <v>71.02076169</v>
      </c>
      <c r="Q23" s="8">
        <v>72.197047319999996</v>
      </c>
      <c r="R23" s="8">
        <v>51.513318689999998</v>
      </c>
      <c r="S23" s="8">
        <v>29.363564220000001</v>
      </c>
      <c r="T23" s="8">
        <v>48.355100460000003</v>
      </c>
      <c r="U23" s="8">
        <v>56.902500880000005</v>
      </c>
      <c r="V23" s="8">
        <v>67.315819309999995</v>
      </c>
      <c r="W23" s="8">
        <v>70.133168250000011</v>
      </c>
      <c r="X23" s="8">
        <v>76.633404929999998</v>
      </c>
      <c r="Y23" s="8">
        <v>65.157573959999993</v>
      </c>
      <c r="Z23" s="8">
        <v>46.496960739999999</v>
      </c>
      <c r="AA23" s="8">
        <v>56.817234620000008</v>
      </c>
      <c r="AB23" s="8">
        <v>71.850721269999994</v>
      </c>
      <c r="AC23" s="8">
        <v>64.403329459999995</v>
      </c>
      <c r="AD23" s="8">
        <v>61.31662017</v>
      </c>
      <c r="AE23" s="8">
        <v>59.087229970000003</v>
      </c>
      <c r="AF23" s="8">
        <v>18.238692839152353</v>
      </c>
      <c r="AG23" s="8">
        <v>43.699793619999994</v>
      </c>
      <c r="AH23" s="8">
        <v>54.130137500000004</v>
      </c>
      <c r="AI23" s="8">
        <f>64.60573424-AI46</f>
        <v>67.004316350000011</v>
      </c>
      <c r="AJ23" s="8">
        <f>0.457418776993812-AJ46</f>
        <v>66.338387155693781</v>
      </c>
      <c r="AK23" s="8">
        <v>-38.892376677428295</v>
      </c>
    </row>
    <row r="24" spans="1:37" x14ac:dyDescent="0.35">
      <c r="AG24" s="48"/>
    </row>
    <row r="26" spans="1:37" x14ac:dyDescent="0.35">
      <c r="U26" s="33"/>
      <c r="V26" s="33"/>
      <c r="W26" s="33"/>
      <c r="X26" s="33"/>
      <c r="Y26" s="33"/>
      <c r="Z26" s="33"/>
      <c r="AA26" s="33"/>
      <c r="AB26" s="33"/>
      <c r="AC26" s="33"/>
      <c r="AD26" s="33"/>
      <c r="AE26" s="33"/>
      <c r="AF26" s="33"/>
      <c r="AG26" s="33"/>
      <c r="AH26" s="33"/>
      <c r="AI26" s="33"/>
      <c r="AJ26" s="33"/>
      <c r="AK26" s="33"/>
    </row>
    <row r="28" spans="1:37" ht="23.4" x14ac:dyDescent="0.45">
      <c r="B28" s="12" t="s">
        <v>46</v>
      </c>
      <c r="C28" s="13"/>
      <c r="D28" s="13"/>
      <c r="E28" s="13"/>
      <c r="H28" s="12" t="s">
        <v>46</v>
      </c>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row>
    <row r="29" spans="1:37" ht="5.25" customHeight="1" x14ac:dyDescent="0.35"/>
    <row r="30" spans="1:37" ht="15.75" customHeight="1" x14ac:dyDescent="0.35">
      <c r="A30" s="1">
        <v>1</v>
      </c>
      <c r="B30" s="3" t="s">
        <v>96</v>
      </c>
      <c r="C30" s="99" t="s">
        <v>128</v>
      </c>
      <c r="D30" s="99" t="s">
        <v>143</v>
      </c>
      <c r="E30" s="99" t="s">
        <v>4</v>
      </c>
      <c r="H30" s="3" t="s">
        <v>96</v>
      </c>
      <c r="I30" s="99" t="s">
        <v>6</v>
      </c>
      <c r="J30" s="99" t="s">
        <v>7</v>
      </c>
      <c r="K30" s="99" t="s">
        <v>8</v>
      </c>
      <c r="L30" s="99" t="s">
        <v>9</v>
      </c>
      <c r="M30" s="99" t="s">
        <v>10</v>
      </c>
      <c r="N30" s="99" t="s">
        <v>11</v>
      </c>
      <c r="O30" s="99" t="s">
        <v>12</v>
      </c>
      <c r="P30" s="99" t="s">
        <v>13</v>
      </c>
      <c r="Q30" s="99" t="s">
        <v>14</v>
      </c>
      <c r="R30" s="99" t="s">
        <v>15</v>
      </c>
      <c r="S30" s="99" t="s">
        <v>16</v>
      </c>
      <c r="T30" s="99" t="s">
        <v>17</v>
      </c>
      <c r="U30" s="99" t="s">
        <v>18</v>
      </c>
      <c r="V30" s="99" t="s">
        <v>19</v>
      </c>
      <c r="W30" s="99" t="s">
        <v>20</v>
      </c>
      <c r="X30" s="99" t="s">
        <v>21</v>
      </c>
      <c r="Y30" s="99" t="s">
        <v>22</v>
      </c>
      <c r="Z30" s="99" t="s">
        <v>23</v>
      </c>
      <c r="AA30" s="99" t="s">
        <v>24</v>
      </c>
      <c r="AB30" s="99" t="s">
        <v>2</v>
      </c>
      <c r="AC30" s="99" t="s">
        <v>25</v>
      </c>
      <c r="AD30" s="99" t="s">
        <v>26</v>
      </c>
      <c r="AE30" s="99" t="s">
        <v>27</v>
      </c>
      <c r="AF30" s="99" t="s">
        <v>3</v>
      </c>
      <c r="AG30" s="99" t="s">
        <v>128</v>
      </c>
      <c r="AH30" s="99" t="s">
        <v>130</v>
      </c>
      <c r="AI30" s="99" t="s">
        <v>139</v>
      </c>
      <c r="AJ30" s="99" t="s">
        <v>141</v>
      </c>
      <c r="AK30" s="99" t="s">
        <v>143</v>
      </c>
    </row>
    <row r="31" spans="1:37" x14ac:dyDescent="0.35">
      <c r="A31" s="1">
        <v>2</v>
      </c>
      <c r="B31" s="3" t="s">
        <v>52</v>
      </c>
      <c r="C31" s="99"/>
      <c r="D31" s="99"/>
      <c r="E31" s="99"/>
      <c r="H31" s="3" t="s">
        <v>52</v>
      </c>
      <c r="I31" s="99"/>
      <c r="J31" s="99"/>
      <c r="K31" s="99"/>
      <c r="L31" s="99"/>
      <c r="M31" s="99"/>
      <c r="N31" s="99"/>
      <c r="O31" s="99"/>
      <c r="P31" s="99"/>
      <c r="Q31" s="99"/>
      <c r="R31" s="99"/>
      <c r="S31" s="99"/>
      <c r="T31" s="99"/>
      <c r="U31" s="99"/>
      <c r="V31" s="99"/>
      <c r="W31" s="99"/>
      <c r="X31" s="99"/>
      <c r="Y31" s="99"/>
      <c r="Z31" s="99"/>
      <c r="AA31" s="99"/>
      <c r="AB31" s="99"/>
      <c r="AC31" s="99"/>
      <c r="AD31" s="99"/>
      <c r="AE31" s="99"/>
      <c r="AF31" s="99"/>
      <c r="AG31" s="99"/>
      <c r="AH31" s="99"/>
      <c r="AI31" s="99"/>
      <c r="AJ31" s="99"/>
      <c r="AK31" s="99"/>
    </row>
    <row r="32" spans="1:37" ht="5.25" customHeight="1" x14ac:dyDescent="0.35">
      <c r="A32" s="1">
        <v>3</v>
      </c>
    </row>
    <row r="33" spans="1:37" x14ac:dyDescent="0.35">
      <c r="A33" s="1">
        <v>4</v>
      </c>
      <c r="B33" s="5" t="s">
        <v>69</v>
      </c>
      <c r="C33" s="8">
        <f>+HLOOKUP($C$30,$H$30:$AO$46,A33,FALSE)</f>
        <v>0.13774836000000001</v>
      </c>
      <c r="D33" s="8">
        <f>+HLOOKUP($D$30,$H$30:$AO$46,A33,FALSE)</f>
        <v>5.6700750000000001E-2</v>
      </c>
      <c r="E33" s="36">
        <f>+D33/C33-1</f>
        <v>-0.58837440968444199</v>
      </c>
      <c r="H33" s="5" t="s">
        <v>69</v>
      </c>
      <c r="I33" s="18"/>
      <c r="J33" s="18"/>
      <c r="K33" s="18"/>
      <c r="L33" s="18"/>
      <c r="M33" s="18"/>
      <c r="N33" s="18"/>
      <c r="O33" s="18"/>
      <c r="P33" s="18"/>
      <c r="Q33" s="8">
        <v>0.16734481000000001</v>
      </c>
      <c r="R33" s="8">
        <v>0.10720837999999999</v>
      </c>
      <c r="S33" s="8">
        <v>0.13487674000000002</v>
      </c>
      <c r="T33" s="8">
        <v>0.16597401000000001</v>
      </c>
      <c r="U33" s="8">
        <v>0.12006236000000001</v>
      </c>
      <c r="V33" s="8">
        <v>0.15038306000000001</v>
      </c>
      <c r="W33" s="8">
        <v>0.15893979</v>
      </c>
      <c r="X33" s="8">
        <v>0.20325471000000001</v>
      </c>
      <c r="Y33" s="8">
        <v>0.22173541999999999</v>
      </c>
      <c r="Z33" s="8">
        <v>0.21593708</v>
      </c>
      <c r="AA33" s="8">
        <v>0.29301841000000001</v>
      </c>
      <c r="AB33" s="8">
        <v>0.3</v>
      </c>
      <c r="AC33" s="8">
        <v>0.14140221000000003</v>
      </c>
      <c r="AD33" s="8">
        <v>7.2432910000000003E-2</v>
      </c>
      <c r="AE33" s="8">
        <v>0.10292943000000002</v>
      </c>
      <c r="AF33" s="8">
        <v>0.29090677999999998</v>
      </c>
      <c r="AG33" s="8">
        <v>0.13774836000000001</v>
      </c>
      <c r="AH33" s="8">
        <v>0.12062782000000001</v>
      </c>
      <c r="AI33" s="8">
        <v>0.30203630999999997</v>
      </c>
      <c r="AJ33" s="8">
        <v>0.15692397000000002</v>
      </c>
      <c r="AK33" s="8">
        <v>5.6700750000000001E-2</v>
      </c>
    </row>
    <row r="34" spans="1:37" x14ac:dyDescent="0.35">
      <c r="A34" s="1">
        <v>5</v>
      </c>
      <c r="B34" s="5" t="s">
        <v>70</v>
      </c>
      <c r="C34" s="8">
        <f t="shared" ref="C34:C44" si="7">+HLOOKUP($C$30,$H$30:$AO$46,A34,FALSE)</f>
        <v>-6.8489455400000008</v>
      </c>
      <c r="D34" s="8">
        <f t="shared" ref="D34:D46" si="8">+HLOOKUP($D$30,$H$30:$AO$46,A34,FALSE)</f>
        <v>-6.62607137</v>
      </c>
      <c r="E34" s="36">
        <f t="shared" ref="E34:E38" si="9">+D34/C34-1</f>
        <v>-3.2541384465439971E-2</v>
      </c>
      <c r="H34" s="5" t="s">
        <v>70</v>
      </c>
      <c r="I34" s="18"/>
      <c r="J34" s="18"/>
      <c r="K34" s="18"/>
      <c r="L34" s="18"/>
      <c r="M34" s="18"/>
      <c r="N34" s="18"/>
      <c r="O34" s="18"/>
      <c r="P34" s="18"/>
      <c r="Q34" s="8">
        <v>-5.4290698400000004</v>
      </c>
      <c r="R34" s="8">
        <v>-2.6430212500000003</v>
      </c>
      <c r="S34" s="8">
        <v>-3.1599592999999997</v>
      </c>
      <c r="T34" s="8">
        <v>-3.4266343500000005</v>
      </c>
      <c r="U34" s="8">
        <v>-3.1524754499999998</v>
      </c>
      <c r="V34" s="8">
        <v>-3.23840606</v>
      </c>
      <c r="W34" s="8">
        <v>-3.7317871299999998</v>
      </c>
      <c r="X34" s="8">
        <v>-4.6476371400000005</v>
      </c>
      <c r="Y34" s="8">
        <v>-4.4800314999999999</v>
      </c>
      <c r="Z34" s="8">
        <v>-4.6873543600000005</v>
      </c>
      <c r="AA34" s="8">
        <v>-4.5787013100000005</v>
      </c>
      <c r="AB34" s="8">
        <v>-4.5999999999999996</v>
      </c>
      <c r="AC34" s="8">
        <v>-4.5996143200000006</v>
      </c>
      <c r="AD34" s="8">
        <v>-8.8851827300000004</v>
      </c>
      <c r="AE34" s="8">
        <v>-7.0326609199999996</v>
      </c>
      <c r="AF34" s="8">
        <v>-6.6142838900000003</v>
      </c>
      <c r="AG34" s="8">
        <v>-6.8489455400000008</v>
      </c>
      <c r="AH34" s="8">
        <v>-6.6069460400000004</v>
      </c>
      <c r="AI34" s="8">
        <v>-6.9407399600000002</v>
      </c>
      <c r="AJ34" s="8">
        <v>-6.4448288399999996</v>
      </c>
      <c r="AK34" s="8">
        <v>-6.62607137</v>
      </c>
    </row>
    <row r="35" spans="1:37" x14ac:dyDescent="0.35">
      <c r="A35" s="1">
        <v>6</v>
      </c>
      <c r="B35" s="5" t="s">
        <v>71</v>
      </c>
      <c r="C35" s="8">
        <f t="shared" si="7"/>
        <v>-1.33876522</v>
      </c>
      <c r="D35" s="8">
        <f t="shared" si="8"/>
        <v>-1.01300134</v>
      </c>
      <c r="E35" s="49">
        <f t="shared" si="9"/>
        <v>-0.24333159775393631</v>
      </c>
      <c r="H35" s="5" t="s">
        <v>71</v>
      </c>
      <c r="I35" s="18"/>
      <c r="J35" s="18"/>
      <c r="K35" s="18"/>
      <c r="L35" s="18"/>
      <c r="M35" s="18"/>
      <c r="N35" s="18"/>
      <c r="O35" s="18"/>
      <c r="P35" s="18"/>
      <c r="Q35" s="8">
        <v>1.37017937</v>
      </c>
      <c r="R35" s="8">
        <v>5.1786280000000143E-2</v>
      </c>
      <c r="S35" s="8">
        <v>-0.63739566000000003</v>
      </c>
      <c r="T35" s="8">
        <v>0.54193233000000018</v>
      </c>
      <c r="U35" s="8">
        <v>1.7152532300000001</v>
      </c>
      <c r="V35" s="8">
        <v>-0.15405724000000004</v>
      </c>
      <c r="W35" s="8">
        <v>-4.9148570000000009E-2</v>
      </c>
      <c r="X35" s="8">
        <v>0.7605646800000001</v>
      </c>
      <c r="Y35" s="8">
        <v>-0.19138833000000002</v>
      </c>
      <c r="Z35" s="8">
        <v>-0.64872458000000011</v>
      </c>
      <c r="AA35" s="8">
        <v>-0.36723388000000001</v>
      </c>
      <c r="AB35" s="8">
        <v>-0.7</v>
      </c>
      <c r="AC35" s="8">
        <v>0.74991217999999993</v>
      </c>
      <c r="AD35" s="8">
        <v>0.29622432000000004</v>
      </c>
      <c r="AE35" s="8">
        <v>-1.03815916</v>
      </c>
      <c r="AF35" s="8">
        <v>0.91169089000000003</v>
      </c>
      <c r="AG35" s="8">
        <v>-1.33876522</v>
      </c>
      <c r="AH35" s="8">
        <v>-1.4948663100000001</v>
      </c>
      <c r="AI35" s="8">
        <v>-0.18466715999999991</v>
      </c>
      <c r="AJ35" s="8">
        <v>-0.18658278000000017</v>
      </c>
      <c r="AK35" s="8">
        <v>-1.01300134</v>
      </c>
    </row>
    <row r="36" spans="1:37" x14ac:dyDescent="0.35">
      <c r="A36" s="1">
        <v>7</v>
      </c>
      <c r="B36" s="5" t="s">
        <v>73</v>
      </c>
      <c r="C36" s="8">
        <f t="shared" si="7"/>
        <v>-1.0997716499999999</v>
      </c>
      <c r="D36" s="8">
        <f t="shared" si="8"/>
        <v>-0.2058789</v>
      </c>
      <c r="E36" s="49">
        <f t="shared" si="9"/>
        <v>-0.81279850230727435</v>
      </c>
      <c r="H36" s="5" t="s">
        <v>73</v>
      </c>
      <c r="I36" s="18"/>
      <c r="J36" s="18"/>
      <c r="K36" s="18"/>
      <c r="L36" s="18"/>
      <c r="M36" s="18"/>
      <c r="N36" s="18"/>
      <c r="O36" s="18"/>
      <c r="P36" s="18"/>
      <c r="Q36" s="8">
        <v>8.1903610000000002E-2</v>
      </c>
      <c r="R36" s="8">
        <v>-0.66449632999999997</v>
      </c>
      <c r="S36" s="8">
        <v>-0.93240374000000004</v>
      </c>
      <c r="T36" s="8">
        <v>-2.4909673299999997</v>
      </c>
      <c r="U36" s="8">
        <v>-9.0029509999999993E-2</v>
      </c>
      <c r="V36" s="8">
        <v>-0.27538590000000007</v>
      </c>
      <c r="W36" s="8">
        <v>-0.86470300999999994</v>
      </c>
      <c r="X36" s="8">
        <v>1.29653671</v>
      </c>
      <c r="Y36" s="8">
        <v>-1.9960490000000004E-2</v>
      </c>
      <c r="Z36" s="8">
        <v>-0.42020362000000006</v>
      </c>
      <c r="AA36" s="8">
        <v>-0.77467500999999994</v>
      </c>
      <c r="AB36" s="8">
        <v>-0.3</v>
      </c>
      <c r="AC36" s="8">
        <v>1.4406092899999998</v>
      </c>
      <c r="AD36" s="8">
        <v>-0.87173263000000001</v>
      </c>
      <c r="AE36" s="8">
        <v>-2.2558826700000001</v>
      </c>
      <c r="AF36" s="8">
        <v>-1.4757564699999999</v>
      </c>
      <c r="AG36" s="8">
        <v>-1.0997716499999999</v>
      </c>
      <c r="AH36" s="8">
        <v>-1.2178332700000001</v>
      </c>
      <c r="AI36" s="8">
        <v>0.32024835999999812</v>
      </c>
      <c r="AJ36" s="8">
        <v>-180.23959754999998</v>
      </c>
      <c r="AK36" s="8">
        <v>-0.2058789</v>
      </c>
    </row>
    <row r="37" spans="1:37" ht="5.25" customHeight="1" x14ac:dyDescent="0.35">
      <c r="A37" s="1">
        <v>8</v>
      </c>
      <c r="E37" s="89"/>
      <c r="S37" s="15"/>
    </row>
    <row r="38" spans="1:37" x14ac:dyDescent="0.35">
      <c r="A38" s="1">
        <v>9</v>
      </c>
      <c r="B38" s="6" t="s">
        <v>74</v>
      </c>
      <c r="C38" s="9">
        <f t="shared" si="7"/>
        <v>-9.1497340500000011</v>
      </c>
      <c r="D38" s="9">
        <f t="shared" si="8"/>
        <v>-7.7882508599999998</v>
      </c>
      <c r="E38" s="96">
        <f t="shared" si="9"/>
        <v>-0.14880030201533578</v>
      </c>
      <c r="H38" s="6" t="s">
        <v>74</v>
      </c>
      <c r="I38" s="19"/>
      <c r="J38" s="19"/>
      <c r="K38" s="19"/>
      <c r="L38" s="19"/>
      <c r="M38" s="19"/>
      <c r="N38" s="19"/>
      <c r="O38" s="19"/>
      <c r="P38" s="19"/>
      <c r="Q38" s="9">
        <v>-3.8096420500000003</v>
      </c>
      <c r="R38" s="9">
        <v>-3.1485229200000004</v>
      </c>
      <c r="S38" s="9">
        <v>-4.5948819599999995</v>
      </c>
      <c r="T38" s="9">
        <v>-5.2096953399999997</v>
      </c>
      <c r="U38" s="9">
        <v>-1.4071893699999998</v>
      </c>
      <c r="V38" s="9">
        <v>-3.5174661399999998</v>
      </c>
      <c r="W38" s="9">
        <v>-4.4866989200000003</v>
      </c>
      <c r="X38" s="9">
        <v>-2.3872810400000004</v>
      </c>
      <c r="Y38" s="9">
        <f>SUM(Y33:Y36)</f>
        <v>-4.4696448999999996</v>
      </c>
      <c r="Z38" s="9">
        <f>SUM(Z33:Z36)</f>
        <v>-5.54034548</v>
      </c>
      <c r="AA38" s="9">
        <f>SUM(AA33:AA36)</f>
        <v>-5.4275917900000001</v>
      </c>
      <c r="AB38" s="9">
        <f>+SUM(AB33:AB36)</f>
        <v>-5.3</v>
      </c>
      <c r="AC38" s="9">
        <f>+SUM(AC33:AC36)</f>
        <v>-2.267690640000001</v>
      </c>
      <c r="AD38" s="9">
        <f t="shared" ref="AD38:AK38" si="10">+SUM(AD33:AD36)</f>
        <v>-9.3882581300000005</v>
      </c>
      <c r="AE38" s="9">
        <f t="shared" si="10"/>
        <v>-10.223773319999999</v>
      </c>
      <c r="AF38" s="9">
        <f t="shared" si="10"/>
        <v>-6.8874426900000003</v>
      </c>
      <c r="AG38" s="9">
        <f t="shared" si="10"/>
        <v>-9.1497340500000011</v>
      </c>
      <c r="AH38" s="9">
        <f t="shared" si="10"/>
        <v>-9.1990178</v>
      </c>
      <c r="AI38" s="9">
        <f t="shared" si="10"/>
        <v>-6.503122450000002</v>
      </c>
      <c r="AJ38" s="9">
        <f t="shared" si="10"/>
        <v>-186.71408519999997</v>
      </c>
      <c r="AK38" s="9">
        <f t="shared" si="10"/>
        <v>-7.7882508599999998</v>
      </c>
    </row>
    <row r="39" spans="1:37" ht="5.25" customHeight="1" x14ac:dyDescent="0.35">
      <c r="A39" s="1">
        <v>10</v>
      </c>
      <c r="E39" s="89"/>
      <c r="S39" s="15"/>
    </row>
    <row r="40" spans="1:37" x14ac:dyDescent="0.35">
      <c r="A40" s="1">
        <v>11</v>
      </c>
      <c r="B40" s="6" t="s">
        <v>75</v>
      </c>
      <c r="C40" s="9">
        <f t="shared" si="7"/>
        <v>-0.71223130999999817</v>
      </c>
      <c r="D40" s="9">
        <f t="shared" si="8"/>
        <v>0.19442329999999686</v>
      </c>
      <c r="E40" s="62" t="s">
        <v>44</v>
      </c>
      <c r="H40" s="6" t="s">
        <v>75</v>
      </c>
      <c r="I40" s="19"/>
      <c r="J40" s="19"/>
      <c r="K40" s="19"/>
      <c r="L40" s="19"/>
      <c r="M40" s="19"/>
      <c r="N40" s="19"/>
      <c r="O40" s="19"/>
      <c r="P40" s="19"/>
      <c r="Q40" s="9">
        <v>4.9281214299999956</v>
      </c>
      <c r="R40" s="9">
        <v>-1.9760049700000009</v>
      </c>
      <c r="S40" s="16">
        <v>3.5452988599999982</v>
      </c>
      <c r="T40" s="9">
        <v>0.89048269000000602</v>
      </c>
      <c r="U40" s="9">
        <v>1.9710638200000044</v>
      </c>
      <c r="V40" s="9">
        <v>-0.63885456000000218</v>
      </c>
      <c r="W40" s="9">
        <v>1.1608619299999976</v>
      </c>
      <c r="X40" s="9">
        <v>7.0620773800000043</v>
      </c>
      <c r="Y40" s="9">
        <v>-2.6982926100000091</v>
      </c>
      <c r="Z40" s="9">
        <v>-1.4643349499999951</v>
      </c>
      <c r="AA40" s="9">
        <v>-6.3483848100000015</v>
      </c>
      <c r="AB40" s="9">
        <f>+'Operating Income'!D83+AB38</f>
        <v>2.6861129199999949</v>
      </c>
      <c r="AC40" s="9">
        <v>1.8706096800000052</v>
      </c>
      <c r="AD40" s="9">
        <v>-0.85428449999999678</v>
      </c>
      <c r="AE40" s="9">
        <v>-5.9965322100000034</v>
      </c>
      <c r="AF40" s="9">
        <v>0.20896997999999201</v>
      </c>
      <c r="AG40" s="9">
        <v>-0.71223130999999817</v>
      </c>
      <c r="AH40" s="9">
        <v>-7.15080925</v>
      </c>
      <c r="AI40" s="9">
        <v>-3.0297254700000034</v>
      </c>
      <c r="AJ40" s="9">
        <v>-182.13281076999996</v>
      </c>
      <c r="AK40" s="9">
        <v>0.19442329999999686</v>
      </c>
    </row>
    <row r="41" spans="1:37" ht="5.25" customHeight="1" x14ac:dyDescent="0.35">
      <c r="A41" s="1">
        <v>12</v>
      </c>
      <c r="E41" s="39"/>
      <c r="S41" s="15"/>
    </row>
    <row r="42" spans="1:37" x14ac:dyDescent="0.35">
      <c r="A42" s="1">
        <v>13</v>
      </c>
      <c r="B42" s="5" t="s">
        <v>76</v>
      </c>
      <c r="C42" s="8">
        <f t="shared" si="7"/>
        <v>-5.8510186199999996</v>
      </c>
      <c r="D42" s="8">
        <f t="shared" si="8"/>
        <v>-4.8814705299999996</v>
      </c>
      <c r="E42" s="36">
        <f t="shared" ref="E42:E44" si="11">+D42/C42-1</f>
        <v>-0.16570586302458223</v>
      </c>
      <c r="H42" s="5" t="s">
        <v>76</v>
      </c>
      <c r="I42" s="18"/>
      <c r="J42" s="18"/>
      <c r="K42" s="18"/>
      <c r="L42" s="18"/>
      <c r="M42" s="18"/>
      <c r="N42" s="18"/>
      <c r="O42" s="18"/>
      <c r="P42" s="18"/>
      <c r="Q42" s="8">
        <v>2.9217945599999999</v>
      </c>
      <c r="R42" s="8">
        <v>1.28435225</v>
      </c>
      <c r="S42" s="8">
        <v>-5.4604279699999996</v>
      </c>
      <c r="T42" s="8">
        <v>1.2906353500000001</v>
      </c>
      <c r="U42" s="8">
        <v>5.8195076899999991</v>
      </c>
      <c r="V42" s="8">
        <v>-0.47814150999999994</v>
      </c>
      <c r="W42" s="8">
        <v>-0.95178185999999987</v>
      </c>
      <c r="X42" s="8">
        <v>-0.88224735999999992</v>
      </c>
      <c r="Y42" s="8">
        <v>1.2285207600000001</v>
      </c>
      <c r="Z42" s="8">
        <v>-1.9025937399999999</v>
      </c>
      <c r="AA42" s="8">
        <v>0.41217198999999999</v>
      </c>
      <c r="AB42" s="8">
        <v>-1.4</v>
      </c>
      <c r="AC42" s="8">
        <v>2.2914054600000004</v>
      </c>
      <c r="AD42" s="8">
        <v>1.02432743</v>
      </c>
      <c r="AE42" s="8">
        <v>-2.9144535899999999</v>
      </c>
      <c r="AF42" s="8">
        <v>2.3853569299999995</v>
      </c>
      <c r="AG42" s="8">
        <v>-5.8510186199999996</v>
      </c>
      <c r="AH42" s="8">
        <v>-1.8987026599999999</v>
      </c>
      <c r="AI42" s="8">
        <v>-1.8155251099999998</v>
      </c>
      <c r="AJ42" s="8">
        <v>52.9544414</v>
      </c>
      <c r="AK42" s="8">
        <v>-4.8814705299999996</v>
      </c>
    </row>
    <row r="43" spans="1:37" ht="5.25" customHeight="1" x14ac:dyDescent="0.35">
      <c r="A43" s="1">
        <v>14</v>
      </c>
      <c r="E43" s="39"/>
      <c r="S43" s="15"/>
    </row>
    <row r="44" spans="1:37" x14ac:dyDescent="0.35">
      <c r="A44" s="1">
        <v>15</v>
      </c>
      <c r="B44" s="3" t="s">
        <v>77</v>
      </c>
      <c r="C44" s="50">
        <f t="shared" si="7"/>
        <v>-6.5632499299999978</v>
      </c>
      <c r="D44" s="50">
        <f t="shared" si="8"/>
        <v>-4.6870472300000028</v>
      </c>
      <c r="E44" s="51">
        <f t="shared" si="11"/>
        <v>-0.28586488706213198</v>
      </c>
      <c r="H44" s="3" t="s">
        <v>77</v>
      </c>
      <c r="I44" s="10"/>
      <c r="J44" s="10"/>
      <c r="K44" s="10"/>
      <c r="L44" s="10"/>
      <c r="M44" s="10"/>
      <c r="N44" s="10"/>
      <c r="O44" s="10"/>
      <c r="P44" s="10"/>
      <c r="Q44" s="10">
        <v>7.5692857599999961</v>
      </c>
      <c r="R44" s="17">
        <v>-0.41102250000000096</v>
      </c>
      <c r="S44" s="17">
        <v>-1.4873732300000011</v>
      </c>
      <c r="T44" s="17">
        <v>1.7533981700000059</v>
      </c>
      <c r="U44" s="17">
        <v>7.790571510000003</v>
      </c>
      <c r="V44" s="17">
        <v>-1.1169960700000021</v>
      </c>
      <c r="W44" s="17">
        <v>0.20908006999999773</v>
      </c>
      <c r="X44" s="17">
        <v>6.1798300200000043</v>
      </c>
      <c r="Y44" s="17">
        <v>-1.4697718500000088</v>
      </c>
      <c r="Z44" s="17">
        <v>-3.3669286899999951</v>
      </c>
      <c r="AA44" s="17">
        <v>-5.9362128200000015</v>
      </c>
      <c r="AB44" s="17">
        <f>+AB40+AB42</f>
        <v>1.286112919999995</v>
      </c>
      <c r="AC44" s="17">
        <f>+AC40+AC42</f>
        <v>4.1620151400000056</v>
      </c>
      <c r="AD44" s="17">
        <f t="shared" ref="AD44:AG44" si="12">+AD40+AD42</f>
        <v>0.17004293000000326</v>
      </c>
      <c r="AE44" s="17">
        <f t="shared" si="12"/>
        <v>-8.9109858000000024</v>
      </c>
      <c r="AF44" s="17">
        <f t="shared" si="12"/>
        <v>2.5943269099999915</v>
      </c>
      <c r="AG44" s="17">
        <f t="shared" si="12"/>
        <v>-6.5632499299999978</v>
      </c>
      <c r="AH44" s="17">
        <v>-9.0495119099999997</v>
      </c>
      <c r="AI44" s="17">
        <v>-4.8452505800000036</v>
      </c>
      <c r="AJ44" s="17">
        <f t="shared" ref="AJ44:AK44" si="13">+AJ40+AJ42</f>
        <v>-129.17836936999996</v>
      </c>
      <c r="AK44" s="17">
        <f t="shared" si="13"/>
        <v>-4.6870472300000028</v>
      </c>
    </row>
    <row r="45" spans="1:37" ht="5.25" customHeight="1" x14ac:dyDescent="0.35">
      <c r="A45" s="1">
        <v>16</v>
      </c>
      <c r="E45" s="39"/>
      <c r="S45" s="15"/>
    </row>
    <row r="46" spans="1:37" x14ac:dyDescent="0.35">
      <c r="A46" s="1">
        <v>17</v>
      </c>
      <c r="B46" s="5" t="s">
        <v>78</v>
      </c>
      <c r="C46" s="8">
        <f>+HLOOKUP($C$30,$H$30:$AO$47,A46,FALSE)</f>
        <v>-3.3231319199999976</v>
      </c>
      <c r="D46" s="8">
        <f t="shared" si="8"/>
        <v>-2.32373685</v>
      </c>
      <c r="E46" s="49"/>
      <c r="H46" s="5" t="s">
        <v>78</v>
      </c>
      <c r="I46" s="18"/>
      <c r="J46" s="18"/>
      <c r="K46" s="18"/>
      <c r="L46" s="18"/>
      <c r="M46" s="18"/>
      <c r="N46" s="18"/>
      <c r="O46" s="18"/>
      <c r="P46" s="18"/>
      <c r="Q46" s="8">
        <f>+Q44*0.51</f>
        <v>3.860335737599998</v>
      </c>
      <c r="R46" s="8">
        <f t="shared" ref="R46:T46" si="14">+R44*0.51</f>
        <v>-0.2096214750000005</v>
      </c>
      <c r="S46" s="8">
        <f t="shared" si="14"/>
        <v>-0.75856034730000055</v>
      </c>
      <c r="T46" s="8">
        <f t="shared" si="14"/>
        <v>0.89423306670000302</v>
      </c>
      <c r="U46" s="8">
        <f>+U44-U47</f>
        <v>4.171250910000003</v>
      </c>
      <c r="V46" s="8">
        <f t="shared" ref="V46:AF46" si="15">+V44-V47</f>
        <v>-12.129309620000004</v>
      </c>
      <c r="W46" s="8">
        <f t="shared" si="15"/>
        <v>0.13145553999999782</v>
      </c>
      <c r="X46" s="8">
        <f t="shared" si="15"/>
        <v>3.2719259700000043</v>
      </c>
      <c r="Y46" s="8">
        <f t="shared" si="15"/>
        <v>-0.71925135000000906</v>
      </c>
      <c r="Z46" s="8">
        <f t="shared" si="15"/>
        <v>-1.6347808199999949</v>
      </c>
      <c r="AA46" s="8">
        <f t="shared" si="15"/>
        <v>-2.9987468100000014</v>
      </c>
      <c r="AB46" s="8">
        <f t="shared" si="15"/>
        <v>5.790584539999994</v>
      </c>
      <c r="AC46" s="8">
        <f t="shared" si="15"/>
        <v>3.0307739099999909</v>
      </c>
      <c r="AD46" s="8">
        <f t="shared" si="15"/>
        <v>0.11151201000000327</v>
      </c>
      <c r="AE46" s="8">
        <f t="shared" si="15"/>
        <v>-4.5163217200000023</v>
      </c>
      <c r="AF46" s="8">
        <f t="shared" si="15"/>
        <v>1.3496086499999913</v>
      </c>
      <c r="AG46" s="8">
        <f>+AG44-AG47</f>
        <v>-3.3231319199999976</v>
      </c>
      <c r="AH46" s="8">
        <f>+AH44-AH47</f>
        <v>-4.5866115999999995</v>
      </c>
      <c r="AI46" s="8">
        <v>-2.39858211</v>
      </c>
      <c r="AJ46" s="8">
        <f>+AJ44-AJ47</f>
        <v>-65.880968378699976</v>
      </c>
      <c r="AK46" s="8">
        <v>-2.32373685</v>
      </c>
    </row>
    <row r="47" spans="1:37" x14ac:dyDescent="0.35">
      <c r="A47" s="1">
        <v>18</v>
      </c>
      <c r="B47" s="5" t="s">
        <v>79</v>
      </c>
      <c r="C47" s="8">
        <f>+HLOOKUP($C$30,$H$30:$AO$47,A47,FALSE)</f>
        <v>-3.2401180100000002</v>
      </c>
      <c r="D47" s="8">
        <f>+HLOOKUP($D$30,$H$30:$AO$47,A47,FALSE)</f>
        <v>-2.3633103800000028</v>
      </c>
      <c r="E47" s="49"/>
      <c r="H47" s="5" t="s">
        <v>79</v>
      </c>
      <c r="I47" s="18"/>
      <c r="J47" s="18"/>
      <c r="K47" s="18"/>
      <c r="L47" s="18"/>
      <c r="M47" s="18"/>
      <c r="N47" s="18"/>
      <c r="O47" s="18"/>
      <c r="P47" s="18"/>
      <c r="Q47" s="8">
        <f>+Q44*0.49</f>
        <v>3.708950022399998</v>
      </c>
      <c r="R47" s="8">
        <f>+R44*0.49</f>
        <v>-0.20140102500000046</v>
      </c>
      <c r="S47" s="8">
        <f>+S44*0.49</f>
        <v>-0.72881288270000055</v>
      </c>
      <c r="T47" s="8">
        <f>+T44*0.49</f>
        <v>0.85916510330000284</v>
      </c>
      <c r="U47" s="8">
        <v>3.6193206</v>
      </c>
      <c r="V47" s="8">
        <v>11.012313550000002</v>
      </c>
      <c r="W47" s="8">
        <v>7.7624529999999914E-2</v>
      </c>
      <c r="X47" s="8">
        <v>2.90790405</v>
      </c>
      <c r="Y47" s="8">
        <v>-0.7505204999999997</v>
      </c>
      <c r="Z47" s="8">
        <v>-1.7321478700000001</v>
      </c>
      <c r="AA47" s="8">
        <v>-2.9374660100000001</v>
      </c>
      <c r="AB47" s="8">
        <v>-4.5044716199999995</v>
      </c>
      <c r="AC47" s="8">
        <v>1.1312412300000148</v>
      </c>
      <c r="AD47" s="8">
        <v>5.8530919999999986E-2</v>
      </c>
      <c r="AE47" s="8">
        <v>-4.3946640800000001</v>
      </c>
      <c r="AF47" s="8">
        <v>1.2447182600000002</v>
      </c>
      <c r="AG47" s="8">
        <v>-3.2401180100000002</v>
      </c>
      <c r="AH47" s="8">
        <v>-4.4629003100000002</v>
      </c>
      <c r="AI47" s="8">
        <f>+AI44-AI46</f>
        <v>-2.4466684700000036</v>
      </c>
      <c r="AJ47" s="8">
        <f>+AJ44*0.49</f>
        <v>-63.29740099129998</v>
      </c>
      <c r="AK47" s="8">
        <f>+AK44-AK46</f>
        <v>-2.3633103800000028</v>
      </c>
    </row>
    <row r="48" spans="1:37" x14ac:dyDescent="0.35">
      <c r="U48" s="83"/>
      <c r="V48" s="83"/>
      <c r="W48" s="83"/>
      <c r="X48" s="83"/>
      <c r="Y48" s="83"/>
      <c r="Z48" s="83"/>
      <c r="AA48" s="83"/>
      <c r="AB48" s="83"/>
      <c r="AC48" s="83"/>
      <c r="AD48" s="83"/>
      <c r="AE48" s="83"/>
      <c r="AF48" s="83"/>
      <c r="AG48" s="83"/>
      <c r="AH48" s="83"/>
      <c r="AI48" s="83"/>
      <c r="AJ48" s="83"/>
      <c r="AK48" s="83"/>
    </row>
    <row r="49" spans="2:6" ht="183" customHeight="1" x14ac:dyDescent="0.35">
      <c r="B49" s="102" t="s">
        <v>129</v>
      </c>
      <c r="C49" s="102"/>
      <c r="D49" s="102"/>
      <c r="E49" s="102"/>
    </row>
    <row r="50" spans="2:6" x14ac:dyDescent="0.35">
      <c r="F50" s="1" t="s">
        <v>97</v>
      </c>
    </row>
  </sheetData>
  <mergeCells count="65">
    <mergeCell ref="P6:P7"/>
    <mergeCell ref="O6:O7"/>
    <mergeCell ref="K30:K31"/>
    <mergeCell ref="L30:L31"/>
    <mergeCell ref="M30:M31"/>
    <mergeCell ref="N6:N7"/>
    <mergeCell ref="B49:E49"/>
    <mergeCell ref="I30:I31"/>
    <mergeCell ref="J30:J31"/>
    <mergeCell ref="S30:S31"/>
    <mergeCell ref="T30:T31"/>
    <mergeCell ref="O30:O31"/>
    <mergeCell ref="P30:P31"/>
    <mergeCell ref="Q30:Q31"/>
    <mergeCell ref="N30:N31"/>
    <mergeCell ref="I6:I7"/>
    <mergeCell ref="J6:J7"/>
    <mergeCell ref="K6:K7"/>
    <mergeCell ref="L6:L7"/>
    <mergeCell ref="M6:M7"/>
    <mergeCell ref="C6:C7"/>
    <mergeCell ref="D6:D7"/>
    <mergeCell ref="E6:E7"/>
    <mergeCell ref="C30:C31"/>
    <mergeCell ref="D30:D31"/>
    <mergeCell ref="E30:E31"/>
    <mergeCell ref="R6:R7"/>
    <mergeCell ref="S6:S7"/>
    <mergeCell ref="T6:T7"/>
    <mergeCell ref="U6:U7"/>
    <mergeCell ref="V30:V31"/>
    <mergeCell ref="U30:U31"/>
    <mergeCell ref="R30:R31"/>
    <mergeCell ref="V6:V7"/>
    <mergeCell ref="X30:X31"/>
    <mergeCell ref="AC6:AC7"/>
    <mergeCell ref="AC30:AC31"/>
    <mergeCell ref="AB6:AB7"/>
    <mergeCell ref="AB30:AB31"/>
    <mergeCell ref="Z6:Z7"/>
    <mergeCell ref="Z30:Z31"/>
    <mergeCell ref="AG6:AG7"/>
    <mergeCell ref="AG30:AG31"/>
    <mergeCell ref="AF30:AF31"/>
    <mergeCell ref="AF6:AF7"/>
    <mergeCell ref="Q6:Q7"/>
    <mergeCell ref="AE6:AE7"/>
    <mergeCell ref="AE30:AE31"/>
    <mergeCell ref="AD6:AD7"/>
    <mergeCell ref="AD30:AD31"/>
    <mergeCell ref="W6:W7"/>
    <mergeCell ref="W30:W31"/>
    <mergeCell ref="Y6:Y7"/>
    <mergeCell ref="Y30:Y31"/>
    <mergeCell ref="AA6:AA7"/>
    <mergeCell ref="AA30:AA31"/>
    <mergeCell ref="X6:X7"/>
    <mergeCell ref="AK6:AK7"/>
    <mergeCell ref="AK30:AK31"/>
    <mergeCell ref="AI6:AI7"/>
    <mergeCell ref="AI30:AI31"/>
    <mergeCell ref="AH6:AH7"/>
    <mergeCell ref="AH30:AH31"/>
    <mergeCell ref="AJ6:AJ7"/>
    <mergeCell ref="AJ30:AJ31"/>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4:AA49"/>
  <sheetViews>
    <sheetView topLeftCell="B1" zoomScale="90" zoomScaleNormal="90" workbookViewId="0">
      <selection activeCell="B42" sqref="B42"/>
    </sheetView>
  </sheetViews>
  <sheetFormatPr baseColWidth="10" defaultColWidth="11.44140625" defaultRowHeight="14.4" x14ac:dyDescent="0.35"/>
  <cols>
    <col min="1" max="1" width="0" style="1" hidden="1" customWidth="1"/>
    <col min="2" max="2" width="51" style="1" customWidth="1"/>
    <col min="3" max="7" width="11.44140625" style="1"/>
    <col min="8" max="8" width="38.6640625" style="1" customWidth="1"/>
    <col min="9" max="20" width="11.44140625" style="1" customWidth="1"/>
    <col min="21" max="21" width="11.44140625" style="1"/>
    <col min="22" max="24" width="11.44140625" style="1" customWidth="1"/>
    <col min="25" max="16384" width="11.44140625" style="1"/>
  </cols>
  <sheetData>
    <row r="4" spans="1:27" ht="23.4" x14ac:dyDescent="0.45">
      <c r="B4" s="12" t="s">
        <v>0</v>
      </c>
      <c r="C4" s="13"/>
      <c r="D4" s="13"/>
      <c r="E4" s="13"/>
      <c r="H4" s="12" t="s">
        <v>0</v>
      </c>
      <c r="I4" s="13"/>
      <c r="J4" s="13"/>
      <c r="K4" s="13"/>
      <c r="L4" s="13"/>
      <c r="M4" s="13"/>
      <c r="N4" s="13"/>
      <c r="O4" s="13"/>
      <c r="P4" s="13"/>
      <c r="Q4" s="13"/>
      <c r="R4" s="13"/>
      <c r="S4" s="13"/>
      <c r="T4" s="13"/>
      <c r="U4" s="13"/>
      <c r="V4" s="13"/>
      <c r="W4" s="13"/>
      <c r="X4" s="13"/>
      <c r="Y4" s="13"/>
    </row>
    <row r="5" spans="1:27" ht="7.5" customHeight="1" x14ac:dyDescent="0.35"/>
    <row r="6" spans="1:27" ht="15.75" customHeight="1" x14ac:dyDescent="0.35">
      <c r="A6" s="1">
        <v>1</v>
      </c>
      <c r="B6" s="3" t="s">
        <v>98</v>
      </c>
      <c r="C6" s="103" t="s">
        <v>141</v>
      </c>
      <c r="D6" s="103" t="s">
        <v>143</v>
      </c>
      <c r="E6" s="99" t="s">
        <v>4</v>
      </c>
      <c r="H6" s="3" t="s">
        <v>98</v>
      </c>
      <c r="I6" s="99" t="s">
        <v>18</v>
      </c>
      <c r="J6" s="99" t="s">
        <v>19</v>
      </c>
      <c r="K6" s="99" t="s">
        <v>20</v>
      </c>
      <c r="L6" s="99" t="s">
        <v>21</v>
      </c>
      <c r="M6" s="99" t="s">
        <v>22</v>
      </c>
      <c r="N6" s="99" t="s">
        <v>23</v>
      </c>
      <c r="O6" s="99" t="s">
        <v>24</v>
      </c>
      <c r="P6" s="99" t="s">
        <v>2</v>
      </c>
      <c r="Q6" s="99" t="s">
        <v>25</v>
      </c>
      <c r="R6" s="99" t="s">
        <v>26</v>
      </c>
      <c r="S6" s="99" t="s">
        <v>27</v>
      </c>
      <c r="T6" s="99" t="s">
        <v>3</v>
      </c>
      <c r="U6" s="99" t="s">
        <v>128</v>
      </c>
      <c r="V6" s="99" t="s">
        <v>130</v>
      </c>
      <c r="W6" s="99" t="s">
        <v>139</v>
      </c>
      <c r="X6" s="99" t="s">
        <v>141</v>
      </c>
      <c r="Y6" s="99" t="s">
        <v>143</v>
      </c>
    </row>
    <row r="7" spans="1:27" x14ac:dyDescent="0.35">
      <c r="A7" s="1">
        <v>2</v>
      </c>
      <c r="B7" s="3" t="s">
        <v>52</v>
      </c>
      <c r="C7" s="103"/>
      <c r="D7" s="103"/>
      <c r="E7" s="99"/>
      <c r="H7" s="3" t="s">
        <v>52</v>
      </c>
      <c r="I7" s="99"/>
      <c r="J7" s="99"/>
      <c r="K7" s="99"/>
      <c r="L7" s="99"/>
      <c r="M7" s="99"/>
      <c r="N7" s="99"/>
      <c r="O7" s="99"/>
      <c r="P7" s="99"/>
      <c r="Q7" s="99"/>
      <c r="R7" s="99"/>
      <c r="S7" s="99"/>
      <c r="T7" s="99"/>
      <c r="U7" s="99"/>
      <c r="V7" s="99"/>
      <c r="W7" s="99"/>
      <c r="X7" s="99"/>
      <c r="Y7" s="99"/>
    </row>
    <row r="8" spans="1:27" ht="4.5" customHeight="1" x14ac:dyDescent="0.35">
      <c r="A8" s="1">
        <v>3</v>
      </c>
    </row>
    <row r="9" spans="1:27" x14ac:dyDescent="0.35">
      <c r="A9" s="1">
        <v>4</v>
      </c>
      <c r="B9" s="28" t="s">
        <v>99</v>
      </c>
      <c r="C9" s="14">
        <f>+HLOOKUP($C$6,$H$6:$AC$18,A9,FALSE)</f>
        <v>1184.6837488154599</v>
      </c>
      <c r="D9" s="14">
        <f>+HLOOKUP($D$6,$H$6:$AC$18,A9,FALSE)</f>
        <v>1771.1374382460499</v>
      </c>
      <c r="E9" s="36">
        <f>D9/C9-1</f>
        <v>0.49502974107391329</v>
      </c>
      <c r="H9" s="5" t="s">
        <v>99</v>
      </c>
      <c r="I9" s="14">
        <v>851.94598514999996</v>
      </c>
      <c r="J9" s="14">
        <v>877.85857165000004</v>
      </c>
      <c r="K9" s="14">
        <v>966.98446622000006</v>
      </c>
      <c r="L9" s="14">
        <v>1036.83880901</v>
      </c>
      <c r="M9" s="14">
        <v>1123.0161427500002</v>
      </c>
      <c r="N9" s="14">
        <v>906.10416333000012</v>
      </c>
      <c r="O9" s="14">
        <v>1018.89567078</v>
      </c>
      <c r="P9" s="14">
        <f>1151.26274554-P28</f>
        <v>1079.4268553100001</v>
      </c>
      <c r="Q9" s="14">
        <f>1215.75743257-Q28</f>
        <v>1149.0228043500001</v>
      </c>
      <c r="R9" s="14">
        <v>962.29794672999992</v>
      </c>
      <c r="S9" s="14">
        <f>1117.13582647-S28</f>
        <v>1056.5571717299999</v>
      </c>
      <c r="T9" s="14">
        <v>1069.0444025100001</v>
      </c>
      <c r="U9" s="14">
        <f>1313.33960533-U28</f>
        <v>1239.53445283</v>
      </c>
      <c r="V9" s="14">
        <f>1157.13281828-V28</f>
        <v>1065.85657085</v>
      </c>
      <c r="W9" s="14">
        <f>1232.11201038-W28</f>
        <v>1153.9265937</v>
      </c>
      <c r="X9" s="14">
        <f>1259.18534985546-X28</f>
        <v>1184.6837488154599</v>
      </c>
      <c r="Y9" s="14">
        <f>1835.53080955605-Y28</f>
        <v>1771.1374382460499</v>
      </c>
    </row>
    <row r="10" spans="1:27" x14ac:dyDescent="0.35">
      <c r="A10" s="1">
        <v>5</v>
      </c>
      <c r="B10" s="28" t="s">
        <v>100</v>
      </c>
      <c r="C10" s="14">
        <f t="shared" ref="C10:C18" si="0">+HLOOKUP($C$6,$H$6:$AC$18,A10,FALSE)</f>
        <v>4692.081113313041</v>
      </c>
      <c r="D10" s="14">
        <f t="shared" ref="D10:D18" si="1">+HLOOKUP($D$6,$H$6:$AC$18,A10,FALSE)</f>
        <v>4188.5855019600003</v>
      </c>
      <c r="E10" s="36">
        <f>D10/C10-1</f>
        <v>-0.10730752499662699</v>
      </c>
      <c r="H10" s="28" t="s">
        <v>100</v>
      </c>
      <c r="I10" s="14">
        <v>5111.9700011000004</v>
      </c>
      <c r="J10" s="14">
        <v>5118.2419994500015</v>
      </c>
      <c r="K10" s="14">
        <v>5083.0575229899996</v>
      </c>
      <c r="L10" s="14">
        <v>5039.0015552599998</v>
      </c>
      <c r="M10" s="14">
        <v>5033.1846888900009</v>
      </c>
      <c r="N10" s="14">
        <v>5004.2986579099997</v>
      </c>
      <c r="O10" s="14">
        <v>4986.2491683299995</v>
      </c>
      <c r="P10" s="14">
        <f>5627.08594679-P29</f>
        <v>4914.9502672399994</v>
      </c>
      <c r="Q10" s="14">
        <f>5634.71460311-Q29</f>
        <v>4900.3526078900004</v>
      </c>
      <c r="R10" s="14">
        <v>4856.1919675599984</v>
      </c>
      <c r="S10" s="14">
        <f>5662.96485819-S29</f>
        <v>4816.5027538599998</v>
      </c>
      <c r="T10" s="14">
        <v>4715.0582073800015</v>
      </c>
      <c r="U10" s="14">
        <f>5548.1223242-U29</f>
        <v>4691.6083793299995</v>
      </c>
      <c r="V10" s="14">
        <f>5545.52978856-V29</f>
        <v>4703.89630622</v>
      </c>
      <c r="W10" s="14">
        <f>5499.52641136-W29</f>
        <v>4689.1938464699997</v>
      </c>
      <c r="X10" s="14">
        <f>5374.69484166304-X29</f>
        <v>4692.081113313041</v>
      </c>
      <c r="Y10" s="14">
        <f>4858.214-Y29</f>
        <v>4188.5855019600003</v>
      </c>
    </row>
    <row r="11" spans="1:27" ht="5.25" customHeight="1" x14ac:dyDescent="0.35">
      <c r="A11" s="1">
        <v>6</v>
      </c>
      <c r="C11" s="15">
        <f t="shared" si="0"/>
        <v>0</v>
      </c>
      <c r="D11" s="15">
        <f t="shared" si="1"/>
        <v>0</v>
      </c>
      <c r="E11" s="40"/>
      <c r="I11" s="15"/>
      <c r="J11" s="15"/>
      <c r="K11" s="40"/>
      <c r="L11" s="40"/>
      <c r="M11" s="40"/>
      <c r="N11" s="40"/>
      <c r="O11" s="40"/>
      <c r="P11" s="40"/>
      <c r="Q11" s="40"/>
      <c r="R11" s="40"/>
      <c r="S11" s="40"/>
      <c r="T11" s="40"/>
      <c r="U11" s="40"/>
      <c r="V11" s="40"/>
      <c r="W11" s="40"/>
      <c r="X11" s="40"/>
      <c r="Y11" s="40"/>
    </row>
    <row r="12" spans="1:27" x14ac:dyDescent="0.35">
      <c r="A12" s="1">
        <v>7</v>
      </c>
      <c r="B12" s="6" t="s">
        <v>101</v>
      </c>
      <c r="C12" s="9">
        <f t="shared" si="0"/>
        <v>5876.7648621285007</v>
      </c>
      <c r="D12" s="9">
        <f t="shared" si="1"/>
        <v>5959.7229402060502</v>
      </c>
      <c r="E12" s="38">
        <f>D12/C12-1</f>
        <v>1.4116283367427984E-2</v>
      </c>
      <c r="H12" s="6" t="s">
        <v>101</v>
      </c>
      <c r="I12" s="9">
        <f>I10+I9</f>
        <v>5963.9159862500001</v>
      </c>
      <c r="J12" s="9">
        <f>J10+J9</f>
        <v>5996.1005711000016</v>
      </c>
      <c r="K12" s="9">
        <f t="shared" ref="K12:M12" si="2">K10+K9</f>
        <v>6050.0419892099999</v>
      </c>
      <c r="L12" s="9">
        <f t="shared" si="2"/>
        <v>6075.8403642699996</v>
      </c>
      <c r="M12" s="9">
        <f t="shared" si="2"/>
        <v>6156.2008316400006</v>
      </c>
      <c r="N12" s="9">
        <f t="shared" ref="N12:O12" si="3">N10+N9</f>
        <v>5910.4028212399999</v>
      </c>
      <c r="O12" s="9">
        <f t="shared" si="3"/>
        <v>6005.1448391099993</v>
      </c>
      <c r="P12" s="9">
        <f t="shared" ref="P12:Y12" si="4">P10+P9</f>
        <v>5994.3771225499995</v>
      </c>
      <c r="Q12" s="9">
        <f t="shared" si="4"/>
        <v>6049.3754122400005</v>
      </c>
      <c r="R12" s="9">
        <f t="shared" si="4"/>
        <v>5818.4899142899985</v>
      </c>
      <c r="S12" s="9">
        <f t="shared" si="4"/>
        <v>5873.0599255899997</v>
      </c>
      <c r="T12" s="9">
        <f t="shared" si="4"/>
        <v>5784.102609890002</v>
      </c>
      <c r="U12" s="9">
        <f t="shared" si="4"/>
        <v>5931.1428321599997</v>
      </c>
      <c r="V12" s="9">
        <f t="shared" si="4"/>
        <v>5769.7528770700001</v>
      </c>
      <c r="W12" s="9">
        <f t="shared" si="4"/>
        <v>5843.1204401699997</v>
      </c>
      <c r="X12" s="9">
        <f t="shared" si="4"/>
        <v>5876.7648621285007</v>
      </c>
      <c r="Y12" s="9">
        <f t="shared" si="4"/>
        <v>5959.7229402060502</v>
      </c>
    </row>
    <row r="13" spans="1:27" ht="5.25" customHeight="1" x14ac:dyDescent="0.35">
      <c r="A13" s="1">
        <v>8</v>
      </c>
    </row>
    <row r="14" spans="1:27" x14ac:dyDescent="0.35">
      <c r="A14" s="1">
        <v>9</v>
      </c>
      <c r="B14" s="5" t="s">
        <v>102</v>
      </c>
      <c r="C14" s="14">
        <f t="shared" si="0"/>
        <v>215.40118083056399</v>
      </c>
      <c r="D14" s="14">
        <f t="shared" si="1"/>
        <v>341.73667789000001</v>
      </c>
      <c r="E14" s="36">
        <f>D14/C14-1</f>
        <v>0.58651255565220128</v>
      </c>
      <c r="H14" s="5" t="s">
        <v>102</v>
      </c>
      <c r="I14" s="14">
        <v>332.06293499999998</v>
      </c>
      <c r="J14" s="14">
        <v>257.57242348</v>
      </c>
      <c r="K14" s="14">
        <v>251.18324160999998</v>
      </c>
      <c r="L14" s="14">
        <v>321.59412931000003</v>
      </c>
      <c r="M14" s="14">
        <v>311.40434149000004</v>
      </c>
      <c r="N14" s="14">
        <v>240.91993596999998</v>
      </c>
      <c r="O14" s="14">
        <v>238.14455495999999</v>
      </c>
      <c r="P14" s="14">
        <f>345.36432029-P33</f>
        <v>301.90262543</v>
      </c>
      <c r="Q14" s="14">
        <f>324.73546798-Q33</f>
        <v>278.59070792</v>
      </c>
      <c r="R14" s="14">
        <v>217.377272</v>
      </c>
      <c r="S14" s="14">
        <f>286.59953942-S33</f>
        <v>226.65396185999998</v>
      </c>
      <c r="T14" s="14">
        <v>267.9885452499999</v>
      </c>
      <c r="U14" s="14">
        <f>344.78575294-U33</f>
        <v>245.24322167000003</v>
      </c>
      <c r="V14" s="14">
        <f>300.0780978-V33</f>
        <v>187.28015278000004</v>
      </c>
      <c r="W14" s="14">
        <f>285.30081097-W33</f>
        <v>193.42503362999997</v>
      </c>
      <c r="X14" s="14">
        <f>306.542637480564-X33</f>
        <v>215.40118083056399</v>
      </c>
      <c r="Y14" s="14">
        <f>429.657122-Y33</f>
        <v>341.73667789000001</v>
      </c>
    </row>
    <row r="15" spans="1:27" x14ac:dyDescent="0.35">
      <c r="A15" s="1">
        <v>10</v>
      </c>
      <c r="B15" s="5" t="s">
        <v>103</v>
      </c>
      <c r="C15" s="14">
        <f t="shared" si="0"/>
        <v>2331.50730189361</v>
      </c>
      <c r="D15" s="14">
        <f t="shared" si="1"/>
        <v>2322.7600000000002</v>
      </c>
      <c r="E15" s="36">
        <f>D15/C15-1</f>
        <v>-3.7517797548844989E-3</v>
      </c>
      <c r="H15" s="5" t="s">
        <v>103</v>
      </c>
      <c r="I15" s="14">
        <v>2298.0290426399997</v>
      </c>
      <c r="J15" s="14">
        <v>2289.0193435900001</v>
      </c>
      <c r="K15" s="14">
        <v>2303.73616958</v>
      </c>
      <c r="L15" s="14">
        <v>2262.9810454100002</v>
      </c>
      <c r="M15" s="14">
        <v>2276.3748615799996</v>
      </c>
      <c r="N15" s="14">
        <v>2240.46498006</v>
      </c>
      <c r="O15" s="14">
        <v>2281.9964221199998</v>
      </c>
      <c r="P15" s="14">
        <f>2576.04691683-P34</f>
        <v>2242.7578190900003</v>
      </c>
      <c r="Q15" s="14">
        <f>2601.2611478-Q34</f>
        <v>2257.6920767399997</v>
      </c>
      <c r="R15" s="14">
        <v>2247.1130673900002</v>
      </c>
      <c r="S15" s="14">
        <f>2674.75084135-S34</f>
        <v>2230.2975092900001</v>
      </c>
      <c r="T15" s="14">
        <v>2185.7482230700002</v>
      </c>
      <c r="U15" s="14">
        <f>2749.60490735-U34</f>
        <v>2317.5012676799997</v>
      </c>
      <c r="V15" s="14">
        <f>2740.20253576-V34</f>
        <v>2309.7141655300002</v>
      </c>
      <c r="W15" s="14">
        <f>2720.09146833-W34</f>
        <v>2308.2274280400002</v>
      </c>
      <c r="X15" s="14">
        <f>2741.98145781361-X34</f>
        <v>2331.50730189361</v>
      </c>
      <c r="Y15" s="14">
        <f>2717.96-Y34</f>
        <v>2322.7600000000002</v>
      </c>
    </row>
    <row r="16" spans="1:27" x14ac:dyDescent="0.35">
      <c r="A16" s="1">
        <v>11</v>
      </c>
      <c r="B16" s="5" t="s">
        <v>104</v>
      </c>
      <c r="C16" s="14">
        <f t="shared" si="0"/>
        <v>3329.8676748499997</v>
      </c>
      <c r="D16" s="14">
        <f t="shared" si="1"/>
        <v>3295.19686215</v>
      </c>
      <c r="E16" s="36">
        <f t="shared" ref="E16" si="5">D16/C16-1</f>
        <v>-1.0412069212798802E-2</v>
      </c>
      <c r="H16" s="5" t="s">
        <v>104</v>
      </c>
      <c r="I16" s="14">
        <v>3333.1386763600008</v>
      </c>
      <c r="J16" s="14">
        <v>3449.5088040299997</v>
      </c>
      <c r="K16" s="14">
        <v>3495.1225780199998</v>
      </c>
      <c r="L16" s="14">
        <v>3491.2651895500003</v>
      </c>
      <c r="M16" s="14">
        <v>3568.4216285699999</v>
      </c>
      <c r="N16" s="14">
        <v>3429.0179052100002</v>
      </c>
      <c r="O16" s="14">
        <v>3485.0038620300002</v>
      </c>
      <c r="P16" s="14">
        <f>3856.93745521-P35</f>
        <v>3449.7166780299999</v>
      </c>
      <c r="Q16" s="14">
        <f>3924.4754199-Q35</f>
        <v>3513.0926275799998</v>
      </c>
      <c r="R16" s="14">
        <v>3354.0092946500004</v>
      </c>
      <c r="S16" s="14">
        <f>3818.75030389-S35</f>
        <v>3416.1084544400001</v>
      </c>
      <c r="T16" s="14">
        <v>3330.39901263</v>
      </c>
      <c r="U16" s="14">
        <f>3767.1044403-U35</f>
        <v>3368.4315138699999</v>
      </c>
      <c r="V16" s="14">
        <f>3662.38197328-V35</f>
        <v>3272.7585587599997</v>
      </c>
      <c r="W16" s="14">
        <f>3726.24614244-W35</f>
        <v>3341.4679784999998</v>
      </c>
      <c r="X16" s="14">
        <f>3585.36746942-X35</f>
        <v>3329.8676748499997</v>
      </c>
      <c r="Y16" s="14">
        <f>3546.10960949-Y35</f>
        <v>3295.19686215</v>
      </c>
      <c r="AA16" s="92"/>
    </row>
    <row r="17" spans="1:25" ht="4.5" customHeight="1" x14ac:dyDescent="0.35">
      <c r="A17" s="1">
        <v>12</v>
      </c>
      <c r="C17" s="1">
        <f t="shared" si="0"/>
        <v>0</v>
      </c>
      <c r="D17" s="39">
        <f t="shared" si="1"/>
        <v>0</v>
      </c>
      <c r="E17" s="39"/>
    </row>
    <row r="18" spans="1:25" x14ac:dyDescent="0.35">
      <c r="A18" s="1">
        <v>13</v>
      </c>
      <c r="B18" s="6" t="s">
        <v>105</v>
      </c>
      <c r="C18" s="9">
        <f t="shared" si="0"/>
        <v>5876.7761575741733</v>
      </c>
      <c r="D18" s="9">
        <f t="shared" si="1"/>
        <v>5959.6935400399998</v>
      </c>
      <c r="E18" s="38">
        <f>D18/C18-1</f>
        <v>1.4109331416164217E-2</v>
      </c>
      <c r="H18" s="6" t="s">
        <v>105</v>
      </c>
      <c r="I18" s="9">
        <f>SUM(I14:I16)</f>
        <v>5963.2306540000009</v>
      </c>
      <c r="J18" s="9">
        <f t="shared" ref="J18" si="6">SUM(J14:J16)</f>
        <v>5996.1005710999998</v>
      </c>
      <c r="K18" s="9">
        <f>SUM(K14:K16)</f>
        <v>6050.0419892099999</v>
      </c>
      <c r="L18" s="9">
        <f t="shared" ref="L18:N18" si="7">SUM(L14:L16)</f>
        <v>6075.8403642700005</v>
      </c>
      <c r="M18" s="9">
        <f t="shared" si="7"/>
        <v>6156.2008316399997</v>
      </c>
      <c r="N18" s="9">
        <f t="shared" si="7"/>
        <v>5910.4028212400008</v>
      </c>
      <c r="O18" s="9">
        <f t="shared" ref="O18:R18" si="8">SUM(O14:O16)</f>
        <v>6005.1448391100002</v>
      </c>
      <c r="P18" s="9">
        <f t="shared" si="8"/>
        <v>5994.3771225500004</v>
      </c>
      <c r="Q18" s="9">
        <f t="shared" si="8"/>
        <v>6049.3754122399996</v>
      </c>
      <c r="R18" s="9">
        <f t="shared" si="8"/>
        <v>5818.4996340400012</v>
      </c>
      <c r="S18" s="9">
        <f t="shared" ref="S18:Y18" si="9">SUM(S14:S16)</f>
        <v>5873.0599255899997</v>
      </c>
      <c r="T18" s="9">
        <f t="shared" si="9"/>
        <v>5784.1357809500005</v>
      </c>
      <c r="U18" s="9">
        <f t="shared" si="9"/>
        <v>5931.17600322</v>
      </c>
      <c r="V18" s="9">
        <f t="shared" si="9"/>
        <v>5769.7528770700001</v>
      </c>
      <c r="W18" s="9">
        <f t="shared" si="9"/>
        <v>5843.1204401699997</v>
      </c>
      <c r="X18" s="9">
        <f t="shared" si="9"/>
        <v>5876.7761575741733</v>
      </c>
      <c r="Y18" s="9">
        <f t="shared" si="9"/>
        <v>5959.6935400399998</v>
      </c>
    </row>
    <row r="23" spans="1:25" ht="23.4" x14ac:dyDescent="0.45">
      <c r="B23" s="12" t="s">
        <v>46</v>
      </c>
      <c r="C23" s="13"/>
      <c r="D23" s="13"/>
      <c r="E23" s="13"/>
      <c r="H23" s="12" t="s">
        <v>46</v>
      </c>
      <c r="I23" s="13"/>
      <c r="J23" s="13"/>
      <c r="K23" s="13"/>
      <c r="L23" s="13"/>
      <c r="M23" s="13"/>
      <c r="N23" s="13"/>
      <c r="O23" s="13"/>
      <c r="P23" s="13"/>
      <c r="Q23" s="13"/>
      <c r="R23" s="13"/>
      <c r="S23" s="13"/>
      <c r="T23" s="13"/>
      <c r="U23" s="13"/>
      <c r="V23" s="13"/>
      <c r="W23" s="13"/>
      <c r="X23" s="13"/>
      <c r="Y23" s="13"/>
    </row>
    <row r="24" spans="1:25" ht="7.5" customHeight="1" x14ac:dyDescent="0.35"/>
    <row r="25" spans="1:25" x14ac:dyDescent="0.35">
      <c r="A25" s="1">
        <v>1</v>
      </c>
      <c r="B25" s="3" t="s">
        <v>98</v>
      </c>
      <c r="C25" s="103" t="s">
        <v>141</v>
      </c>
      <c r="D25" s="103" t="s">
        <v>143</v>
      </c>
      <c r="E25" s="99" t="s">
        <v>4</v>
      </c>
      <c r="H25" s="3" t="s">
        <v>98</v>
      </c>
      <c r="I25" s="99" t="s">
        <v>18</v>
      </c>
      <c r="J25" s="99" t="s">
        <v>19</v>
      </c>
      <c r="K25" s="99" t="s">
        <v>20</v>
      </c>
      <c r="L25" s="99" t="s">
        <v>21</v>
      </c>
      <c r="M25" s="99" t="s">
        <v>22</v>
      </c>
      <c r="N25" s="99" t="s">
        <v>23</v>
      </c>
      <c r="O25" s="99" t="s">
        <v>24</v>
      </c>
      <c r="P25" s="99" t="s">
        <v>2</v>
      </c>
      <c r="Q25" s="99" t="s">
        <v>25</v>
      </c>
      <c r="R25" s="99" t="s">
        <v>26</v>
      </c>
      <c r="S25" s="99" t="s">
        <v>27</v>
      </c>
      <c r="T25" s="99" t="s">
        <v>3</v>
      </c>
      <c r="U25" s="99" t="s">
        <v>128</v>
      </c>
      <c r="V25" s="99" t="s">
        <v>130</v>
      </c>
      <c r="W25" s="99" t="s">
        <v>139</v>
      </c>
      <c r="X25" s="99" t="s">
        <v>141</v>
      </c>
      <c r="Y25" s="99" t="s">
        <v>143</v>
      </c>
    </row>
    <row r="26" spans="1:25" x14ac:dyDescent="0.35">
      <c r="A26" s="1">
        <v>2</v>
      </c>
      <c r="B26" s="3" t="s">
        <v>52</v>
      </c>
      <c r="C26" s="103"/>
      <c r="D26" s="103"/>
      <c r="E26" s="99"/>
      <c r="H26" s="3" t="s">
        <v>52</v>
      </c>
      <c r="I26" s="99"/>
      <c r="J26" s="99"/>
      <c r="K26" s="99"/>
      <c r="L26" s="99"/>
      <c r="M26" s="99"/>
      <c r="N26" s="99"/>
      <c r="O26" s="99"/>
      <c r="P26" s="99"/>
      <c r="Q26" s="99"/>
      <c r="R26" s="99"/>
      <c r="S26" s="99"/>
      <c r="T26" s="99"/>
      <c r="U26" s="99"/>
      <c r="V26" s="99"/>
      <c r="W26" s="99"/>
      <c r="X26" s="99"/>
      <c r="Y26" s="99"/>
    </row>
    <row r="27" spans="1:25" ht="4.5" customHeight="1" x14ac:dyDescent="0.35">
      <c r="A27" s="1">
        <v>3</v>
      </c>
    </row>
    <row r="28" spans="1:25" x14ac:dyDescent="0.35">
      <c r="A28" s="1">
        <v>4</v>
      </c>
      <c r="B28" s="5" t="s">
        <v>99</v>
      </c>
      <c r="C28" s="7">
        <f t="shared" ref="C28:C35" si="10">+HLOOKUP($C$25,$H$25:$Y$37,A28,FALSE)</f>
        <v>74.501601039999997</v>
      </c>
      <c r="D28" s="7">
        <f>+HLOOKUP($D$25,$H$25:$Y$37,A28,FALSE)</f>
        <v>64.393371309999992</v>
      </c>
      <c r="E28" s="36">
        <f>D28/C28-1</f>
        <v>-0.13567802018875919</v>
      </c>
      <c r="H28" s="5" t="s">
        <v>99</v>
      </c>
      <c r="I28" s="14">
        <v>99.084344999999999</v>
      </c>
      <c r="J28" s="14">
        <v>101.61696936</v>
      </c>
      <c r="K28" s="14">
        <v>103.71705962999999</v>
      </c>
      <c r="L28" s="14">
        <v>110.32355256999999</v>
      </c>
      <c r="M28" s="14">
        <v>97.451427910000007</v>
      </c>
      <c r="N28" s="14">
        <v>104.49759676000001</v>
      </c>
      <c r="O28" s="14">
        <v>97.678491099999988</v>
      </c>
      <c r="P28" s="14">
        <v>71.835890230000004</v>
      </c>
      <c r="Q28" s="14">
        <v>66.734628219999991</v>
      </c>
      <c r="R28" s="14">
        <v>67.594024689999998</v>
      </c>
      <c r="S28" s="14">
        <v>60.578654739999998</v>
      </c>
      <c r="T28" s="14">
        <v>70.365920110000005</v>
      </c>
      <c r="U28" s="14">
        <v>73.805152500000005</v>
      </c>
      <c r="V28" s="14">
        <v>91.276247429999998</v>
      </c>
      <c r="W28" s="14">
        <v>78.185416680000003</v>
      </c>
      <c r="X28" s="14">
        <v>74.501601039999997</v>
      </c>
      <c r="Y28" s="14">
        <v>64.393371309999992</v>
      </c>
    </row>
    <row r="29" spans="1:25" x14ac:dyDescent="0.35">
      <c r="A29" s="1">
        <v>5</v>
      </c>
      <c r="B29" s="5" t="s">
        <v>100</v>
      </c>
      <c r="C29" s="7">
        <f t="shared" si="10"/>
        <v>682.61372834999975</v>
      </c>
      <c r="D29" s="7">
        <f>+HLOOKUP($D$25,$H$25:$Y$37,A29,FALSE)</f>
        <v>669.62849803999984</v>
      </c>
      <c r="E29" s="36">
        <f>D29/C29-1</f>
        <v>-1.9022808611522612E-2</v>
      </c>
      <c r="H29" s="5" t="s">
        <v>100</v>
      </c>
      <c r="I29" s="14">
        <v>734.85100731999989</v>
      </c>
      <c r="J29" s="14">
        <v>728.05867406999994</v>
      </c>
      <c r="K29" s="14">
        <v>743.07765096000014</v>
      </c>
      <c r="L29" s="14">
        <v>736.37788302000001</v>
      </c>
      <c r="M29" s="14">
        <v>732.46127262999994</v>
      </c>
      <c r="N29" s="14">
        <v>723.52039917000002</v>
      </c>
      <c r="O29" s="14">
        <v>716.73618529000032</v>
      </c>
      <c r="P29" s="14">
        <v>712.13567955000008</v>
      </c>
      <c r="Q29" s="14">
        <v>734.36199522000004</v>
      </c>
      <c r="R29" s="14">
        <v>861.97988807999991</v>
      </c>
      <c r="S29" s="14">
        <v>846.46210432999999</v>
      </c>
      <c r="T29" s="14">
        <v>850.84815062999985</v>
      </c>
      <c r="U29" s="14">
        <v>856.51394486999993</v>
      </c>
      <c r="V29" s="14">
        <v>841.63348233999989</v>
      </c>
      <c r="W29" s="14">
        <v>810.33256488999984</v>
      </c>
      <c r="X29" s="14">
        <v>682.61372834999975</v>
      </c>
      <c r="Y29" s="14">
        <v>669.62849803999984</v>
      </c>
    </row>
    <row r="30" spans="1:25" ht="4.5" customHeight="1" x14ac:dyDescent="0.35">
      <c r="A30" s="1">
        <v>6</v>
      </c>
      <c r="C30" s="1">
        <f t="shared" si="10"/>
        <v>0</v>
      </c>
      <c r="E30" s="39"/>
    </row>
    <row r="31" spans="1:25" x14ac:dyDescent="0.35">
      <c r="A31" s="1">
        <v>7</v>
      </c>
      <c r="B31" s="6" t="s">
        <v>101</v>
      </c>
      <c r="C31" s="9">
        <f t="shared" si="10"/>
        <v>757.11532938999972</v>
      </c>
      <c r="D31" s="9">
        <f>+HLOOKUP($D$25,$H$25:$Y$37,A31,FALSE)</f>
        <v>734.02186934999986</v>
      </c>
      <c r="E31" s="38">
        <f>D31/C31-1</f>
        <v>-3.0501905249502803E-2</v>
      </c>
      <c r="H31" s="6" t="s">
        <v>101</v>
      </c>
      <c r="I31" s="9">
        <f>I29+I28</f>
        <v>833.93535231999988</v>
      </c>
      <c r="J31" s="9">
        <f t="shared" ref="J31:K31" si="11">J29+J28</f>
        <v>829.67564342999992</v>
      </c>
      <c r="K31" s="9">
        <f t="shared" si="11"/>
        <v>846.79471059000014</v>
      </c>
      <c r="L31" s="9">
        <f t="shared" ref="L31:N31" si="12">L29+L28</f>
        <v>846.70143558999996</v>
      </c>
      <c r="M31" s="9">
        <f t="shared" si="12"/>
        <v>829.91270053999995</v>
      </c>
      <c r="N31" s="9">
        <f t="shared" si="12"/>
        <v>828.01799592999998</v>
      </c>
      <c r="O31" s="9">
        <f t="shared" ref="O31" si="13">O29+O28</f>
        <v>814.4146763900003</v>
      </c>
      <c r="P31" s="9">
        <f t="shared" ref="P31:Y31" si="14">+P28+P29</f>
        <v>783.9715697800001</v>
      </c>
      <c r="Q31" s="9">
        <f t="shared" si="14"/>
        <v>801.09662344000003</v>
      </c>
      <c r="R31" s="9">
        <f t="shared" si="14"/>
        <v>929.57391276999988</v>
      </c>
      <c r="S31" s="9">
        <f t="shared" si="14"/>
        <v>907.04075907000004</v>
      </c>
      <c r="T31" s="9">
        <f t="shared" si="14"/>
        <v>921.2140707399999</v>
      </c>
      <c r="U31" s="9">
        <f t="shared" si="14"/>
        <v>930.31909736999989</v>
      </c>
      <c r="V31" s="9">
        <f t="shared" si="14"/>
        <v>932.9097297699999</v>
      </c>
      <c r="W31" s="9">
        <f t="shared" si="14"/>
        <v>888.51798156999985</v>
      </c>
      <c r="X31" s="9">
        <f t="shared" si="14"/>
        <v>757.11532938999972</v>
      </c>
      <c r="Y31" s="9">
        <f t="shared" si="14"/>
        <v>734.02186934999986</v>
      </c>
    </row>
    <row r="32" spans="1:25" ht="4.5" customHeight="1" x14ac:dyDescent="0.35">
      <c r="A32" s="1">
        <v>8</v>
      </c>
      <c r="C32" s="1">
        <f t="shared" si="10"/>
        <v>0</v>
      </c>
      <c r="E32" s="39"/>
    </row>
    <row r="33" spans="1:25" x14ac:dyDescent="0.35">
      <c r="A33" s="1">
        <v>9</v>
      </c>
      <c r="B33" s="5" t="s">
        <v>102</v>
      </c>
      <c r="C33" s="7">
        <f t="shared" si="10"/>
        <v>91.141456650000023</v>
      </c>
      <c r="D33" s="7">
        <f>+HLOOKUP($D$25,$H$25:$Y$37,A33,FALSE)</f>
        <v>87.920444109999991</v>
      </c>
      <c r="E33" s="36">
        <f>D33/C33-1</f>
        <v>-3.5340806021669335E-2</v>
      </c>
      <c r="H33" s="5" t="s">
        <v>102</v>
      </c>
      <c r="I33" s="14">
        <v>22.336485010000001</v>
      </c>
      <c r="J33" s="14">
        <v>20.85197148</v>
      </c>
      <c r="K33" s="14">
        <v>28.26018797</v>
      </c>
      <c r="L33" s="14">
        <v>33.207928359999997</v>
      </c>
      <c r="M33" s="14">
        <v>34.073178300000009</v>
      </c>
      <c r="N33" s="14">
        <v>35.731892770000002</v>
      </c>
      <c r="O33" s="14">
        <v>42.527268629999995</v>
      </c>
      <c r="P33" s="14">
        <v>43.461694860000001</v>
      </c>
      <c r="Q33" s="14">
        <v>46.144760060000003</v>
      </c>
      <c r="R33" s="14">
        <v>53.074400949999998</v>
      </c>
      <c r="S33" s="14">
        <v>59.945577559999997</v>
      </c>
      <c r="T33" s="14">
        <v>70.349828369999997</v>
      </c>
      <c r="U33" s="14">
        <v>99.542531269999998</v>
      </c>
      <c r="V33" s="14">
        <v>112.79794502</v>
      </c>
      <c r="W33" s="14">
        <v>91.875777339999999</v>
      </c>
      <c r="X33" s="14">
        <v>91.141456650000023</v>
      </c>
      <c r="Y33" s="14">
        <v>87.920444109999991</v>
      </c>
    </row>
    <row r="34" spans="1:25" x14ac:dyDescent="0.35">
      <c r="A34" s="1">
        <v>10</v>
      </c>
      <c r="B34" s="5" t="s">
        <v>106</v>
      </c>
      <c r="C34" s="7">
        <f t="shared" si="10"/>
        <v>410.47415591999999</v>
      </c>
      <c r="D34" s="7">
        <f>+HLOOKUP($D$25,$H$25:$Y$37,A34,FALSE)</f>
        <v>395.2</v>
      </c>
      <c r="E34" s="36">
        <f t="shared" ref="E34:E35" si="15">D34/C34-1</f>
        <v>-3.7211005125927787E-2</v>
      </c>
      <c r="H34" s="5" t="s">
        <v>106</v>
      </c>
      <c r="I34" s="14">
        <v>374.89243102999995</v>
      </c>
      <c r="J34" s="14">
        <v>373.39117074000001</v>
      </c>
      <c r="K34" s="14">
        <v>358.59106495999998</v>
      </c>
      <c r="L34" s="14">
        <v>354.05204652999998</v>
      </c>
      <c r="M34" s="14">
        <v>347.86783338999999</v>
      </c>
      <c r="N34" s="14">
        <v>347.68134299999997</v>
      </c>
      <c r="O34" s="14">
        <v>333.21886042</v>
      </c>
      <c r="P34" s="14">
        <v>333.28909773999993</v>
      </c>
      <c r="Q34" s="14">
        <v>343.56907105999994</v>
      </c>
      <c r="R34" s="14">
        <v>464.94667656999997</v>
      </c>
      <c r="S34" s="14">
        <v>444.45333205999998</v>
      </c>
      <c r="T34" s="14">
        <v>445.62806600999994</v>
      </c>
      <c r="U34" s="14">
        <v>432.10363967000006</v>
      </c>
      <c r="V34" s="14">
        <v>430.48837023000004</v>
      </c>
      <c r="W34" s="14">
        <v>411.86404028999999</v>
      </c>
      <c r="X34" s="14">
        <v>410.47415591999999</v>
      </c>
      <c r="Y34" s="14">
        <v>395.2</v>
      </c>
    </row>
    <row r="35" spans="1:25" x14ac:dyDescent="0.35">
      <c r="A35" s="1">
        <v>11</v>
      </c>
      <c r="B35" s="5" t="s">
        <v>107</v>
      </c>
      <c r="C35" s="7">
        <f t="shared" si="10"/>
        <v>255.49979457000001</v>
      </c>
      <c r="D35" s="7">
        <f>+HLOOKUP($D$25,$H$25:$Y$37,A35,FALSE)</f>
        <v>250.91274734000004</v>
      </c>
      <c r="E35" s="36">
        <f t="shared" si="15"/>
        <v>-1.7953232556291665E-2</v>
      </c>
      <c r="H35" s="5" t="s">
        <v>107</v>
      </c>
      <c r="I35" s="14">
        <v>436.70643628000005</v>
      </c>
      <c r="J35" s="14">
        <v>435.43250121000005</v>
      </c>
      <c r="K35" s="14">
        <v>459.94345766000004</v>
      </c>
      <c r="L35" s="14">
        <v>459.44146069999994</v>
      </c>
      <c r="M35" s="14">
        <v>447.97168884999991</v>
      </c>
      <c r="N35" s="14">
        <v>444.60476015999996</v>
      </c>
      <c r="O35" s="14">
        <v>438.66854733999998</v>
      </c>
      <c r="P35" s="14">
        <v>407.22077717999997</v>
      </c>
      <c r="Q35" s="14">
        <v>411.38279232000002</v>
      </c>
      <c r="R35" s="14">
        <v>411.55283524999999</v>
      </c>
      <c r="S35" s="14">
        <v>402.64184945</v>
      </c>
      <c r="T35" s="14">
        <v>405.23617636</v>
      </c>
      <c r="U35" s="14">
        <v>398.67292643000002</v>
      </c>
      <c r="V35" s="14">
        <v>389.62341451999998</v>
      </c>
      <c r="W35" s="14">
        <v>384.77816394000001</v>
      </c>
      <c r="X35" s="14">
        <v>255.49979457000001</v>
      </c>
      <c r="Y35" s="14">
        <v>250.91274734000004</v>
      </c>
    </row>
    <row r="36" spans="1:25" ht="4.5" customHeight="1" x14ac:dyDescent="0.35">
      <c r="A36" s="1">
        <v>12</v>
      </c>
      <c r="E36" s="39"/>
    </row>
    <row r="37" spans="1:25" x14ac:dyDescent="0.35">
      <c r="A37" s="1">
        <v>13</v>
      </c>
      <c r="B37" s="6" t="s">
        <v>105</v>
      </c>
      <c r="C37" s="9">
        <f>+HLOOKUP($C$25,$H$25:$Y$37,A37,FALSE)</f>
        <v>757.11540714</v>
      </c>
      <c r="D37" s="9">
        <f>+HLOOKUP($D$25,$H$25:$Y$37,A37,FALSE)</f>
        <v>734.03319145</v>
      </c>
      <c r="E37" s="38">
        <f>D37/C37-1</f>
        <v>-3.0487050550447758E-2</v>
      </c>
      <c r="H37" s="6" t="s">
        <v>105</v>
      </c>
      <c r="I37" s="9">
        <f>SUM(I33:I35)</f>
        <v>833.93535231999999</v>
      </c>
      <c r="J37" s="9">
        <f t="shared" ref="J37:K37" si="16">SUM(J33:J35)</f>
        <v>829.67564343000004</v>
      </c>
      <c r="K37" s="9">
        <f t="shared" si="16"/>
        <v>846.79471059000002</v>
      </c>
      <c r="L37" s="9">
        <f t="shared" ref="L37:N37" si="17">SUM(L33:L35)</f>
        <v>846.70143558999985</v>
      </c>
      <c r="M37" s="9">
        <f t="shared" si="17"/>
        <v>829.91270053999983</v>
      </c>
      <c r="N37" s="9">
        <f t="shared" si="17"/>
        <v>828.01799592999987</v>
      </c>
      <c r="O37" s="9">
        <f t="shared" ref="O37:S37" si="18">SUM(O33:O35)</f>
        <v>814.41467638999995</v>
      </c>
      <c r="P37" s="9">
        <f t="shared" si="18"/>
        <v>783.97156977999998</v>
      </c>
      <c r="Q37" s="9">
        <f t="shared" si="18"/>
        <v>801.09662344000003</v>
      </c>
      <c r="R37" s="9">
        <f t="shared" si="18"/>
        <v>929.57391276999988</v>
      </c>
      <c r="S37" s="9">
        <f t="shared" si="18"/>
        <v>907.04075906999992</v>
      </c>
      <c r="T37" s="9">
        <f t="shared" ref="T37:U37" si="19">SUM(T33:T35)</f>
        <v>921.2140707399999</v>
      </c>
      <c r="U37" s="9">
        <f t="shared" si="19"/>
        <v>930.31909737000001</v>
      </c>
      <c r="V37" s="9">
        <f>SUM(V33:V35)</f>
        <v>932.90972977000001</v>
      </c>
      <c r="W37" s="9">
        <f>SUM(W33:W35)</f>
        <v>888.51798157000007</v>
      </c>
      <c r="X37" s="9">
        <f>SUM(X33:X35)</f>
        <v>757.11540714</v>
      </c>
      <c r="Y37" s="9">
        <f t="shared" ref="Y37" si="20">SUM(Y33:Y35)</f>
        <v>734.03319145</v>
      </c>
    </row>
    <row r="40" spans="1:25" x14ac:dyDescent="0.35">
      <c r="P40" s="54"/>
      <c r="T40" s="54"/>
      <c r="U40" s="54"/>
      <c r="V40" s="54"/>
      <c r="W40" s="54"/>
      <c r="X40" s="54"/>
      <c r="Y40" s="54"/>
    </row>
    <row r="41" spans="1:25" x14ac:dyDescent="0.35">
      <c r="P41" s="54"/>
      <c r="T41" s="54"/>
      <c r="U41" s="54"/>
      <c r="V41" s="54"/>
      <c r="W41" s="54"/>
      <c r="X41" s="54"/>
      <c r="Y41" s="54"/>
    </row>
    <row r="42" spans="1:25" x14ac:dyDescent="0.35">
      <c r="P42" s="54"/>
      <c r="T42" s="54"/>
      <c r="U42" s="54"/>
      <c r="V42" s="54"/>
      <c r="W42" s="54"/>
      <c r="X42" s="54"/>
      <c r="Y42" s="54"/>
    </row>
    <row r="43" spans="1:25" x14ac:dyDescent="0.35">
      <c r="P43" s="54"/>
      <c r="T43" s="54"/>
      <c r="U43" s="54"/>
      <c r="V43" s="54"/>
      <c r="W43" s="54"/>
      <c r="X43" s="54"/>
      <c r="Y43" s="54"/>
    </row>
    <row r="44" spans="1:25" x14ac:dyDescent="0.35">
      <c r="P44" s="54"/>
      <c r="T44" s="54"/>
      <c r="U44" s="54"/>
      <c r="V44" s="54"/>
      <c r="W44" s="54"/>
      <c r="X44" s="54"/>
      <c r="Y44" s="54"/>
    </row>
    <row r="45" spans="1:25" x14ac:dyDescent="0.35">
      <c r="P45" s="54"/>
      <c r="T45" s="54"/>
      <c r="U45" s="54"/>
      <c r="V45" s="54"/>
      <c r="W45" s="54"/>
      <c r="X45" s="54"/>
      <c r="Y45" s="54"/>
    </row>
    <row r="46" spans="1:25" x14ac:dyDescent="0.35">
      <c r="P46" s="54"/>
      <c r="T46" s="54"/>
      <c r="U46" s="54"/>
      <c r="V46" s="54"/>
      <c r="W46" s="54"/>
      <c r="X46" s="54"/>
      <c r="Y46" s="54"/>
    </row>
    <row r="47" spans="1:25" x14ac:dyDescent="0.35">
      <c r="P47" s="54"/>
      <c r="T47" s="54"/>
      <c r="U47" s="54"/>
      <c r="V47" s="54"/>
      <c r="W47" s="54"/>
      <c r="X47" s="54"/>
      <c r="Y47" s="54"/>
    </row>
    <row r="48" spans="1:25" x14ac:dyDescent="0.35">
      <c r="P48" s="54"/>
      <c r="T48" s="54"/>
      <c r="U48" s="54"/>
      <c r="V48" s="54"/>
      <c r="W48" s="54"/>
      <c r="X48" s="54"/>
      <c r="Y48" s="54"/>
    </row>
    <row r="49" spans="16:25" x14ac:dyDescent="0.35">
      <c r="P49" s="54"/>
      <c r="T49" s="54"/>
      <c r="U49" s="54"/>
      <c r="V49" s="54"/>
      <c r="W49" s="54"/>
      <c r="X49" s="54"/>
      <c r="Y49" s="54"/>
    </row>
  </sheetData>
  <mergeCells count="40">
    <mergeCell ref="V6:V7"/>
    <mergeCell ref="V25:V26"/>
    <mergeCell ref="C6:C7"/>
    <mergeCell ref="D6:D7"/>
    <mergeCell ref="E6:E7"/>
    <mergeCell ref="I6:I7"/>
    <mergeCell ref="J6:J7"/>
    <mergeCell ref="K6:K7"/>
    <mergeCell ref="W6:W7"/>
    <mergeCell ref="C25:C26"/>
    <mergeCell ref="D25:D26"/>
    <mergeCell ref="E25:E26"/>
    <mergeCell ref="U6:U7"/>
    <mergeCell ref="U25:U26"/>
    <mergeCell ref="P25:P26"/>
    <mergeCell ref="O25:O26"/>
    <mergeCell ref="N6:N7"/>
    <mergeCell ref="N25:N26"/>
    <mergeCell ref="T25:T26"/>
    <mergeCell ref="T6:T7"/>
    <mergeCell ref="S6:S7"/>
    <mergeCell ref="I25:I26"/>
    <mergeCell ref="J25:J26"/>
    <mergeCell ref="K25:K26"/>
    <mergeCell ref="Y6:Y7"/>
    <mergeCell ref="Y25:Y26"/>
    <mergeCell ref="L6:L7"/>
    <mergeCell ref="L25:L26"/>
    <mergeCell ref="M6:M7"/>
    <mergeCell ref="M25:M26"/>
    <mergeCell ref="Q6:Q7"/>
    <mergeCell ref="Q25:Q26"/>
    <mergeCell ref="O6:O7"/>
    <mergeCell ref="S25:S26"/>
    <mergeCell ref="R6:R7"/>
    <mergeCell ref="R25:R26"/>
    <mergeCell ref="P6:P7"/>
    <mergeCell ref="X6:X7"/>
    <mergeCell ref="X25:X26"/>
    <mergeCell ref="W25:W26"/>
  </mergeCells>
  <pageMargins left="0.7" right="0.7" top="0.75" bottom="0.75" header="0.3" footer="0.3"/>
  <pageSetup orientation="portrait" r:id="rId1"/>
  <ignoredErrors>
    <ignoredError sqref="E28:E37" evalError="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4:AL31"/>
  <sheetViews>
    <sheetView zoomScaleNormal="100" workbookViewId="0">
      <selection activeCell="AM11" sqref="AM11"/>
    </sheetView>
  </sheetViews>
  <sheetFormatPr baseColWidth="10" defaultColWidth="11.44140625" defaultRowHeight="14.4" x14ac:dyDescent="0.35"/>
  <cols>
    <col min="1" max="1" width="30.33203125" style="1" customWidth="1"/>
    <col min="2" max="6" width="11.44140625" style="1"/>
    <col min="7" max="7" width="32.88671875" style="1" customWidth="1"/>
    <col min="8" max="31" width="11.44140625" style="1" customWidth="1"/>
    <col min="32" max="16384" width="11.44140625" style="1"/>
  </cols>
  <sheetData>
    <row r="4" spans="1:38" ht="23.4" x14ac:dyDescent="0.45">
      <c r="A4" s="12" t="s">
        <v>0</v>
      </c>
      <c r="B4" s="13"/>
      <c r="C4" s="13"/>
      <c r="D4" s="13"/>
      <c r="G4" s="12" t="s">
        <v>0</v>
      </c>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row>
    <row r="5" spans="1:38" x14ac:dyDescent="0.35">
      <c r="F5" s="72"/>
    </row>
    <row r="6" spans="1:38" x14ac:dyDescent="0.35">
      <c r="A6" s="3" t="s">
        <v>108</v>
      </c>
      <c r="B6" s="99" t="s">
        <v>141</v>
      </c>
      <c r="C6" s="103" t="s">
        <v>143</v>
      </c>
      <c r="D6" s="99" t="s">
        <v>4</v>
      </c>
      <c r="F6" s="72">
        <v>1</v>
      </c>
      <c r="G6" s="3" t="s">
        <v>108</v>
      </c>
      <c r="H6" s="99" t="s">
        <v>6</v>
      </c>
      <c r="I6" s="99" t="s">
        <v>7</v>
      </c>
      <c r="J6" s="99" t="s">
        <v>8</v>
      </c>
      <c r="K6" s="99" t="s">
        <v>9</v>
      </c>
      <c r="L6" s="99" t="s">
        <v>10</v>
      </c>
      <c r="M6" s="99" t="s">
        <v>11</v>
      </c>
      <c r="N6" s="99" t="s">
        <v>12</v>
      </c>
      <c r="O6" s="99" t="s">
        <v>13</v>
      </c>
      <c r="P6" s="99" t="s">
        <v>14</v>
      </c>
      <c r="Q6" s="99" t="s">
        <v>15</v>
      </c>
      <c r="R6" s="99" t="s">
        <v>16</v>
      </c>
      <c r="S6" s="99" t="s">
        <v>17</v>
      </c>
      <c r="T6" s="99" t="s">
        <v>18</v>
      </c>
      <c r="U6" s="99" t="s">
        <v>19</v>
      </c>
      <c r="V6" s="99" t="s">
        <v>20</v>
      </c>
      <c r="W6" s="99" t="s">
        <v>21</v>
      </c>
      <c r="X6" s="99" t="s">
        <v>22</v>
      </c>
      <c r="Y6" s="99" t="s">
        <v>23</v>
      </c>
      <c r="Z6" s="99" t="s">
        <v>24</v>
      </c>
      <c r="AA6" s="99" t="s">
        <v>2</v>
      </c>
      <c r="AB6" s="99" t="s">
        <v>25</v>
      </c>
      <c r="AC6" s="99" t="s">
        <v>26</v>
      </c>
      <c r="AD6" s="99" t="s">
        <v>27</v>
      </c>
      <c r="AE6" s="99" t="s">
        <v>3</v>
      </c>
      <c r="AF6" s="99" t="s">
        <v>128</v>
      </c>
      <c r="AG6" s="99" t="s">
        <v>130</v>
      </c>
      <c r="AH6" s="99" t="s">
        <v>139</v>
      </c>
      <c r="AI6" s="99" t="s">
        <v>141</v>
      </c>
      <c r="AJ6" s="99" t="s">
        <v>143</v>
      </c>
    </row>
    <row r="7" spans="1:38" x14ac:dyDescent="0.35">
      <c r="A7" s="3" t="s">
        <v>52</v>
      </c>
      <c r="B7" s="99"/>
      <c r="C7" s="103"/>
      <c r="D7" s="99"/>
      <c r="F7" s="72">
        <v>2</v>
      </c>
      <c r="G7" s="3" t="s">
        <v>52</v>
      </c>
      <c r="H7" s="99"/>
      <c r="I7" s="99"/>
      <c r="J7" s="99"/>
      <c r="K7" s="99"/>
      <c r="L7" s="99"/>
      <c r="M7" s="99"/>
      <c r="N7" s="99"/>
      <c r="O7" s="99"/>
      <c r="P7" s="99"/>
      <c r="Q7" s="99"/>
      <c r="R7" s="99"/>
      <c r="S7" s="99"/>
      <c r="T7" s="99"/>
      <c r="U7" s="99"/>
      <c r="V7" s="99"/>
      <c r="W7" s="99"/>
      <c r="X7" s="99"/>
      <c r="Y7" s="99"/>
      <c r="Z7" s="99"/>
      <c r="AA7" s="99"/>
      <c r="AB7" s="99"/>
      <c r="AC7" s="99"/>
      <c r="AD7" s="99"/>
      <c r="AE7" s="99"/>
      <c r="AF7" s="99"/>
      <c r="AG7" s="99"/>
      <c r="AH7" s="99"/>
      <c r="AI7" s="99"/>
      <c r="AJ7" s="99"/>
    </row>
    <row r="8" spans="1:38" x14ac:dyDescent="0.35">
      <c r="F8" s="72">
        <v>3</v>
      </c>
    </row>
    <row r="9" spans="1:38" x14ac:dyDescent="0.35">
      <c r="A9" s="5" t="s">
        <v>109</v>
      </c>
      <c r="B9" s="8">
        <f>+HLOOKUP($B$6,$G$6:$AN$13,F9,FALSE)</f>
        <v>1336.7224258783999</v>
      </c>
      <c r="C9" s="8">
        <f>+HLOOKUP($C$6,$G$6:$AN$13,F9,FALSE)</f>
        <v>1337.78954300951</v>
      </c>
      <c r="D9" s="46">
        <f>C9/B9-1</f>
        <v>7.983086918055271E-4</v>
      </c>
      <c r="F9" s="72">
        <v>4</v>
      </c>
      <c r="G9" s="5" t="s">
        <v>110</v>
      </c>
      <c r="H9" s="8">
        <v>1621.21</v>
      </c>
      <c r="I9" s="8">
        <v>1618.2439999999999</v>
      </c>
      <c r="J9" s="8">
        <v>2045.0509999999999</v>
      </c>
      <c r="K9" s="8">
        <v>1893.8910000000001</v>
      </c>
      <c r="L9" s="8">
        <v>1887.99</v>
      </c>
      <c r="M9" s="8">
        <v>1877</v>
      </c>
      <c r="N9" s="8">
        <v>1870.7026136500001</v>
      </c>
      <c r="O9" s="8">
        <v>1857.9439466699998</v>
      </c>
      <c r="P9" s="8">
        <v>1865.7826170000001</v>
      </c>
      <c r="Q9" s="8">
        <v>1626.8895758000001</v>
      </c>
      <c r="R9" s="8">
        <v>1361.9305067499999</v>
      </c>
      <c r="S9" s="8">
        <v>1347.14813589</v>
      </c>
      <c r="T9" s="8">
        <v>1342.6678752600001</v>
      </c>
      <c r="U9" s="8">
        <v>1341.22899979</v>
      </c>
      <c r="V9" s="8">
        <v>1344.95474584</v>
      </c>
      <c r="W9" s="8">
        <v>1305.42787344</v>
      </c>
      <c r="X9" s="8">
        <v>1318.1200414800001</v>
      </c>
      <c r="Y9" s="8">
        <v>1280.81690873</v>
      </c>
      <c r="Z9" s="8">
        <v>1287.7160888599999</v>
      </c>
      <c r="AA9" s="8">
        <f>1603.2633381-AA23</f>
        <v>1254.1770553000001</v>
      </c>
      <c r="AB9" s="8">
        <f>1612.00621806-AB23</f>
        <v>1272.0972800500001</v>
      </c>
      <c r="AC9" s="8">
        <v>1255.6366147000001</v>
      </c>
      <c r="AD9" s="8">
        <f>1701.04231517-AD23</f>
        <v>1243.88248436</v>
      </c>
      <c r="AE9" s="8">
        <v>1219.4010661599998</v>
      </c>
      <c r="AF9" s="8">
        <f>1814.75025218-AF23</f>
        <v>1347.5749549699999</v>
      </c>
      <c r="AG9" s="8">
        <f>1806.42016527-AG23</f>
        <v>1334.0859096400002</v>
      </c>
      <c r="AH9" s="8">
        <f>1796.72138678-AH23</f>
        <v>1338.1752458300002</v>
      </c>
      <c r="AI9" s="8">
        <f>1796.2731062684-AI23</f>
        <v>1336.7224258783999</v>
      </c>
      <c r="AJ9" s="8">
        <f>1781.18954300951-AJ23</f>
        <v>1337.78954300951</v>
      </c>
      <c r="AK9" s="48"/>
      <c r="AL9" s="54"/>
    </row>
    <row r="10" spans="1:38" x14ac:dyDescent="0.35">
      <c r="A10" s="5" t="s">
        <v>111</v>
      </c>
      <c r="B10" s="8">
        <f t="shared" ref="B10:B13" si="0">+HLOOKUP($B$6,$G$6:$AN$13,F10,FALSE)</f>
        <v>938.55964359000006</v>
      </c>
      <c r="C10" s="8">
        <f t="shared" ref="C10:C13" si="1">+HLOOKUP($C$6,$G$6:$AN$13,F10,FALSE)</f>
        <v>1005.9915344041599</v>
      </c>
      <c r="D10" s="46">
        <f t="shared" ref="D10:D13" si="2">C10/B10-1</f>
        <v>7.1846143476009816E-2</v>
      </c>
      <c r="F10" s="72">
        <v>5</v>
      </c>
      <c r="G10" s="5" t="s">
        <v>111</v>
      </c>
      <c r="H10" s="8">
        <v>208.3</v>
      </c>
      <c r="I10" s="8">
        <v>337.4</v>
      </c>
      <c r="J10" s="8">
        <v>878.3</v>
      </c>
      <c r="K10" s="8">
        <v>832.76</v>
      </c>
      <c r="L10" s="8">
        <v>816.7</v>
      </c>
      <c r="M10" s="8">
        <v>912.5</v>
      </c>
      <c r="N10" s="8">
        <v>1090.5720669099999</v>
      </c>
      <c r="O10" s="8">
        <v>1058.0028371999999</v>
      </c>
      <c r="P10" s="8">
        <v>1041.9427924399999</v>
      </c>
      <c r="Q10" s="8">
        <v>821.89592786000003</v>
      </c>
      <c r="R10" s="8">
        <v>577.45237951000001</v>
      </c>
      <c r="S10" s="8">
        <v>644.96538209000005</v>
      </c>
      <c r="T10" s="8">
        <v>625.20350478</v>
      </c>
      <c r="U10" s="8">
        <v>642.64908048999996</v>
      </c>
      <c r="V10" s="8">
        <v>732.58318152000004</v>
      </c>
      <c r="W10" s="8">
        <v>757.34681765000005</v>
      </c>
      <c r="X10" s="8">
        <v>840.18244562999996</v>
      </c>
      <c r="Y10" s="8">
        <v>643.19314947999999</v>
      </c>
      <c r="Z10" s="8">
        <v>738.20035213999995</v>
      </c>
      <c r="AA10" s="8">
        <f>788.08749668-AA24</f>
        <v>764.38389112999994</v>
      </c>
      <c r="AB10" s="8">
        <f>815.72624595-AB24</f>
        <v>802.70145593000007</v>
      </c>
      <c r="AC10" s="8">
        <v>649.83319934000008</v>
      </c>
      <c r="AD10" s="8">
        <f>780.16379925-AD24</f>
        <v>766.81319765000001</v>
      </c>
      <c r="AE10" s="8">
        <v>773.54807795999977</v>
      </c>
      <c r="AF10" s="8">
        <f>979.68716846-AF24</f>
        <v>951.01231157999996</v>
      </c>
      <c r="AG10" s="8">
        <f>854.02097505-AG24</f>
        <v>813.01434632999997</v>
      </c>
      <c r="AH10" s="8">
        <f>965.89374418-AH24</f>
        <v>938.50500040999998</v>
      </c>
      <c r="AI10" s="8">
        <f>967.40052647-AI24</f>
        <v>938.55964359000006</v>
      </c>
      <c r="AJ10" s="8">
        <f>1027.83522607416-AJ24</f>
        <v>1005.9915344041599</v>
      </c>
      <c r="AL10" s="54"/>
    </row>
    <row r="11" spans="1:38" x14ac:dyDescent="0.35">
      <c r="A11" s="5" t="s">
        <v>112</v>
      </c>
      <c r="B11" s="8">
        <f t="shared" si="0"/>
        <v>398.16278228839985</v>
      </c>
      <c r="C11" s="91">
        <f t="shared" si="1"/>
        <v>331.79800860535011</v>
      </c>
      <c r="D11" s="46">
        <f t="shared" si="2"/>
        <v>-0.16667749130550324</v>
      </c>
      <c r="F11" s="72">
        <v>6</v>
      </c>
      <c r="G11" s="5" t="s">
        <v>112</v>
      </c>
      <c r="H11" s="8">
        <f>H9-H10</f>
        <v>1412.91</v>
      </c>
      <c r="I11" s="8">
        <f t="shared" ref="I11:P11" si="3">I9-I10</f>
        <v>1280.8440000000001</v>
      </c>
      <c r="J11" s="8">
        <f t="shared" si="3"/>
        <v>1166.751</v>
      </c>
      <c r="K11" s="8">
        <f t="shared" si="3"/>
        <v>1061.1310000000001</v>
      </c>
      <c r="L11" s="8">
        <f t="shared" si="3"/>
        <v>1071.29</v>
      </c>
      <c r="M11" s="8">
        <f t="shared" si="3"/>
        <v>964.5</v>
      </c>
      <c r="N11" s="8">
        <f t="shared" si="3"/>
        <v>780.13054674000023</v>
      </c>
      <c r="O11" s="8">
        <f t="shared" si="3"/>
        <v>799.9411094699999</v>
      </c>
      <c r="P11" s="8">
        <f t="shared" si="3"/>
        <v>823.83982456000012</v>
      </c>
      <c r="Q11" s="8">
        <f t="shared" ref="Q11" si="4">Q9-Q10</f>
        <v>804.99364794000007</v>
      </c>
      <c r="R11" s="8">
        <f t="shared" ref="R11" si="5">R9-R10</f>
        <v>784.47812723999994</v>
      </c>
      <c r="S11" s="8">
        <f t="shared" ref="S11" si="6">S9-S10</f>
        <v>702.1827538</v>
      </c>
      <c r="T11" s="8">
        <f t="shared" ref="T11" si="7">T9-T10</f>
        <v>717.46437048000007</v>
      </c>
      <c r="U11" s="8">
        <f t="shared" ref="U11" si="8">U9-U10</f>
        <v>698.57991930000003</v>
      </c>
      <c r="V11" s="8">
        <f t="shared" ref="V11:X11" si="9">V9-V10</f>
        <v>612.37156431999995</v>
      </c>
      <c r="W11" s="8">
        <f t="shared" si="9"/>
        <v>548.08105578999994</v>
      </c>
      <c r="X11" s="8">
        <f t="shared" si="9"/>
        <v>477.93759585000009</v>
      </c>
      <c r="Y11" s="8">
        <f t="shared" ref="Y11:Z11" si="10">Y9-Y10</f>
        <v>637.62375925000003</v>
      </c>
      <c r="Z11" s="8">
        <f t="shared" si="10"/>
        <v>549.51573671999995</v>
      </c>
      <c r="AA11" s="8">
        <f>+AA9-AA10</f>
        <v>489.79316417000018</v>
      </c>
      <c r="AB11" s="8">
        <f>796.27997211-AB25</f>
        <v>469.3958241200001</v>
      </c>
      <c r="AC11" s="8">
        <v>605.80341536000014</v>
      </c>
      <c r="AD11" s="8">
        <f t="shared" ref="AD11:AH11" si="11">+AD9-AD10</f>
        <v>477.06928671000003</v>
      </c>
      <c r="AE11" s="8">
        <f t="shared" si="11"/>
        <v>445.85298820000003</v>
      </c>
      <c r="AF11" s="8">
        <f t="shared" si="11"/>
        <v>396.56264338999995</v>
      </c>
      <c r="AG11" s="8">
        <f t="shared" si="11"/>
        <v>521.07156331000022</v>
      </c>
      <c r="AH11" s="8">
        <f t="shared" si="11"/>
        <v>399.67024542000024</v>
      </c>
      <c r="AI11" s="8">
        <f>+AI9-AI10</f>
        <v>398.16278228839985</v>
      </c>
      <c r="AJ11" s="8">
        <f>+AJ9-AJ10</f>
        <v>331.79800860535011</v>
      </c>
    </row>
    <row r="12" spans="1:38" x14ac:dyDescent="0.35">
      <c r="A12" s="5" t="s">
        <v>113</v>
      </c>
      <c r="B12" s="8">
        <f t="shared" si="0"/>
        <v>617.42694116786799</v>
      </c>
      <c r="C12" s="8">
        <f t="shared" si="1"/>
        <v>585.1565443502941</v>
      </c>
      <c r="D12" s="46">
        <f t="shared" si="2"/>
        <v>-5.2265935717891066E-2</v>
      </c>
      <c r="F12" s="72">
        <v>7</v>
      </c>
      <c r="G12" s="5" t="s">
        <v>113</v>
      </c>
      <c r="H12" s="8">
        <v>382.92145630999988</v>
      </c>
      <c r="I12" s="8">
        <v>393.30915419999997</v>
      </c>
      <c r="J12" s="8">
        <v>484.35407574999999</v>
      </c>
      <c r="K12" s="8">
        <f>SUM('Operating Income'!I33:L33)</f>
        <v>536.55660998999997</v>
      </c>
      <c r="L12" s="8">
        <f>SUM('Operating Income'!J33:M33)</f>
        <v>509.58181343000001</v>
      </c>
      <c r="M12" s="8">
        <f>SUM('Operating Income'!K33:N33)</f>
        <v>505.11810049000002</v>
      </c>
      <c r="N12" s="8">
        <f>SUM('Operating Income'!L33:O33)</f>
        <v>569.03689686999996</v>
      </c>
      <c r="O12" s="8">
        <f>SUM('Operating Income'!M33:P33)</f>
        <v>582.13436263000006</v>
      </c>
      <c r="P12" s="8">
        <f>SUM('Operating Income'!N33:Q33)</f>
        <v>642.86230607999994</v>
      </c>
      <c r="Q12" s="8">
        <f>SUM('Operating Income'!O33:R33)</f>
        <v>648.4863515699999</v>
      </c>
      <c r="R12" s="8">
        <f>SUM('Operating Income'!P33:S33)</f>
        <v>574.0483696199999</v>
      </c>
      <c r="S12" s="8">
        <f>SUM('Operating Income'!Q33:T33)</f>
        <v>545.71205114999987</v>
      </c>
      <c r="T12" s="8">
        <f>SUM('Operating Income'!R33:U33)</f>
        <v>535.59390827999982</v>
      </c>
      <c r="U12" s="8">
        <f>SUM('Operating Income'!S33:V33)</f>
        <v>541.16867648999994</v>
      </c>
      <c r="V12" s="8">
        <f>SUM('Operating Income'!T33:W33)</f>
        <v>595.27126139999996</v>
      </c>
      <c r="W12" s="8">
        <f>SUM('Operating Income'!U33:X33)</f>
        <v>638.54421912999999</v>
      </c>
      <c r="X12" s="8">
        <f>SUM('Operating Income'!V33:Y33)</f>
        <v>648.81246179000004</v>
      </c>
      <c r="Y12" s="8">
        <f>SUM('Operating Income'!W33:Z33)</f>
        <v>642.92675406000012</v>
      </c>
      <c r="Z12" s="8">
        <f>SUM('Operating Income'!X33:AA33)</f>
        <v>631.35391621000019</v>
      </c>
      <c r="AA12" s="8">
        <f>SUM('Operating Income'!Y33:AB33)</f>
        <v>647.7782706600002</v>
      </c>
      <c r="AB12" s="8">
        <f>SUM('Operating Income'!Z33:AC33)</f>
        <v>643.02155693000009</v>
      </c>
      <c r="AC12" s="8">
        <f>SUM('Operating Income'!AA33:AD33)</f>
        <v>656.63837824000018</v>
      </c>
      <c r="AD12" s="8">
        <f>SUM('Operating Income'!AB33:AE33)</f>
        <v>670.39056757000014</v>
      </c>
      <c r="AE12" s="8">
        <f>SUM('Operating Income'!AC33:AF33)</f>
        <v>630.87492585131372</v>
      </c>
      <c r="AF12" s="8">
        <f>SUM('Operating Income'!AD33:AG33)</f>
        <v>634.58653409131375</v>
      </c>
      <c r="AG12" s="8">
        <f>SUM('Operating Income'!AE33:AH33)</f>
        <v>621.0280057713137</v>
      </c>
      <c r="AH12" s="8">
        <f>SUM('Operating Income'!AF33:AI33)</f>
        <v>617.62357313131361</v>
      </c>
      <c r="AI12" s="8">
        <f>682.539488147868-AI26</f>
        <v>617.42694116786799</v>
      </c>
      <c r="AJ12" s="8">
        <f>+SUM('Operating Income'!AH33:AK33)</f>
        <v>585.1565443502941</v>
      </c>
    </row>
    <row r="13" spans="1:38" x14ac:dyDescent="0.35">
      <c r="A13" s="5" t="s">
        <v>114</v>
      </c>
      <c r="B13" s="8">
        <f t="shared" si="0"/>
        <v>0.64487432559271185</v>
      </c>
      <c r="C13" s="8">
        <f t="shared" si="1"/>
        <v>0.56702434896929876</v>
      </c>
      <c r="D13" s="46">
        <f t="shared" si="2"/>
        <v>-0.12072115997463573</v>
      </c>
      <c r="F13" s="72">
        <v>8</v>
      </c>
      <c r="G13" s="5" t="s">
        <v>114</v>
      </c>
      <c r="H13" s="8">
        <f>H11/H12</f>
        <v>3.6898167410503038</v>
      </c>
      <c r="I13" s="8">
        <f t="shared" ref="I13:V13" si="12">I11/I12</f>
        <v>3.2565832407467523</v>
      </c>
      <c r="J13" s="8">
        <f t="shared" si="12"/>
        <v>2.408880317964373</v>
      </c>
      <c r="K13" s="8">
        <f t="shared" si="12"/>
        <v>1.9776683023619388</v>
      </c>
      <c r="L13" s="8">
        <f t="shared" si="12"/>
        <v>2.1022924519011714</v>
      </c>
      <c r="M13" s="8">
        <f t="shared" si="12"/>
        <v>1.9094544405840284</v>
      </c>
      <c r="N13" s="8">
        <f t="shared" si="12"/>
        <v>1.3709665419432826</v>
      </c>
      <c r="O13" s="8">
        <f t="shared" si="12"/>
        <v>1.37415201854084</v>
      </c>
      <c r="P13" s="8">
        <f t="shared" si="12"/>
        <v>1.2815183232371361</v>
      </c>
      <c r="Q13" s="8">
        <f t="shared" si="12"/>
        <v>1.2413424677190084</v>
      </c>
      <c r="R13" s="8">
        <f t="shared" si="12"/>
        <v>1.3665714750819644</v>
      </c>
      <c r="S13" s="8">
        <f t="shared" si="12"/>
        <v>1.2867275925467716</v>
      </c>
      <c r="T13" s="8">
        <f t="shared" si="12"/>
        <v>1.339567831874819</v>
      </c>
      <c r="U13" s="8">
        <f t="shared" si="12"/>
        <v>1.2908727900346406</v>
      </c>
      <c r="V13" s="8">
        <f t="shared" si="12"/>
        <v>1.0287269082666317</v>
      </c>
      <c r="W13" s="8">
        <f t="shared" ref="W13:X13" si="13">W11/W12</f>
        <v>0.85832905438678342</v>
      </c>
      <c r="X13" s="8">
        <f t="shared" si="13"/>
        <v>0.73663442673623203</v>
      </c>
      <c r="Y13" s="8">
        <f t="shared" ref="Y13:Z13" si="14">Y11/Y12</f>
        <v>0.99175179011215142</v>
      </c>
      <c r="Z13" s="8">
        <f t="shared" si="14"/>
        <v>0.87037669777789206</v>
      </c>
      <c r="AA13" s="8">
        <f t="shared" ref="AA13:AF13" si="15">+AA11/AA12</f>
        <v>0.75611237109106155</v>
      </c>
      <c r="AB13" s="8">
        <f t="shared" si="15"/>
        <v>0.72998458459317084</v>
      </c>
      <c r="AC13" s="8">
        <f t="shared" si="15"/>
        <v>0.92258301591165914</v>
      </c>
      <c r="AD13" s="8">
        <f t="shared" si="15"/>
        <v>0.71162887693849586</v>
      </c>
      <c r="AE13" s="8">
        <f t="shared" si="15"/>
        <v>0.70672168116106082</v>
      </c>
      <c r="AF13" s="8">
        <f t="shared" si="15"/>
        <v>0.62491499911489867</v>
      </c>
      <c r="AG13" s="8">
        <v>0.62856171092891566</v>
      </c>
      <c r="AH13" s="8">
        <f t="shared" ref="AH13" si="16">+AH11/AH12</f>
        <v>0.64710976524697172</v>
      </c>
      <c r="AI13" s="8">
        <f>+AI11/AI12</f>
        <v>0.64487432559271185</v>
      </c>
      <c r="AJ13" s="8">
        <f>+AJ11/AJ12</f>
        <v>0.56702434896929876</v>
      </c>
    </row>
    <row r="14" spans="1:38" x14ac:dyDescent="0.35">
      <c r="F14" s="72"/>
      <c r="U14" s="33"/>
      <c r="V14" s="33"/>
      <c r="W14" s="33"/>
      <c r="X14" s="33"/>
      <c r="Y14" s="33"/>
      <c r="Z14" s="33"/>
      <c r="AA14" s="33"/>
      <c r="AB14" s="33"/>
      <c r="AC14" s="33"/>
      <c r="AD14" s="33"/>
      <c r="AE14" s="33"/>
      <c r="AF14" s="33"/>
      <c r="AG14" s="33"/>
      <c r="AH14" s="33"/>
      <c r="AI14" s="33"/>
      <c r="AJ14" s="33"/>
    </row>
    <row r="15" spans="1:38" x14ac:dyDescent="0.35">
      <c r="F15" s="72"/>
    </row>
    <row r="16" spans="1:38" x14ac:dyDescent="0.35">
      <c r="F16" s="72"/>
    </row>
    <row r="17" spans="1:37" x14ac:dyDescent="0.35">
      <c r="F17" s="72"/>
    </row>
    <row r="18" spans="1:37" ht="23.4" x14ac:dyDescent="0.45">
      <c r="A18" s="12" t="s">
        <v>46</v>
      </c>
      <c r="B18" s="13"/>
      <c r="C18" s="13"/>
      <c r="D18" s="13"/>
      <c r="F18" s="72"/>
      <c r="G18" s="12" t="s">
        <v>46</v>
      </c>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row>
    <row r="19" spans="1:37" x14ac:dyDescent="0.35">
      <c r="F19" s="72"/>
    </row>
    <row r="20" spans="1:37" x14ac:dyDescent="0.35">
      <c r="A20" s="3" t="s">
        <v>108</v>
      </c>
      <c r="B20" s="99" t="s">
        <v>141</v>
      </c>
      <c r="C20" s="103" t="s">
        <v>143</v>
      </c>
      <c r="D20" s="99" t="s">
        <v>4</v>
      </c>
      <c r="F20" s="72">
        <v>1</v>
      </c>
      <c r="G20" s="3" t="s">
        <v>108</v>
      </c>
      <c r="H20" s="99" t="s">
        <v>6</v>
      </c>
      <c r="I20" s="99" t="s">
        <v>7</v>
      </c>
      <c r="J20" s="99" t="s">
        <v>8</v>
      </c>
      <c r="K20" s="99" t="s">
        <v>9</v>
      </c>
      <c r="L20" s="99" t="s">
        <v>10</v>
      </c>
      <c r="M20" s="99" t="s">
        <v>11</v>
      </c>
      <c r="N20" s="99" t="s">
        <v>12</v>
      </c>
      <c r="O20" s="99" t="s">
        <v>13</v>
      </c>
      <c r="P20" s="99" t="s">
        <v>14</v>
      </c>
      <c r="Q20" s="99" t="s">
        <v>15</v>
      </c>
      <c r="R20" s="99" t="s">
        <v>16</v>
      </c>
      <c r="S20" s="99" t="s">
        <v>17</v>
      </c>
      <c r="T20" s="99" t="s">
        <v>18</v>
      </c>
      <c r="U20" s="99" t="s">
        <v>19</v>
      </c>
      <c r="V20" s="99" t="s">
        <v>20</v>
      </c>
      <c r="W20" s="99" t="s">
        <v>21</v>
      </c>
      <c r="X20" s="99" t="s">
        <v>22</v>
      </c>
      <c r="Y20" s="99" t="s">
        <v>23</v>
      </c>
      <c r="Z20" s="99" t="s">
        <v>24</v>
      </c>
      <c r="AA20" s="99" t="s">
        <v>2</v>
      </c>
      <c r="AB20" s="99" t="s">
        <v>25</v>
      </c>
      <c r="AC20" s="99" t="s">
        <v>26</v>
      </c>
      <c r="AD20" s="99" t="s">
        <v>27</v>
      </c>
      <c r="AE20" s="99" t="s">
        <v>3</v>
      </c>
      <c r="AF20" s="99" t="s">
        <v>128</v>
      </c>
      <c r="AG20" s="99" t="s">
        <v>130</v>
      </c>
      <c r="AH20" s="99" t="s">
        <v>139</v>
      </c>
      <c r="AI20" s="99" t="s">
        <v>141</v>
      </c>
      <c r="AJ20" s="99" t="s">
        <v>143</v>
      </c>
      <c r="AK20" s="54"/>
    </row>
    <row r="21" spans="1:37" x14ac:dyDescent="0.35">
      <c r="A21" s="3" t="s">
        <v>52</v>
      </c>
      <c r="B21" s="99"/>
      <c r="C21" s="103"/>
      <c r="D21" s="99"/>
      <c r="F21" s="72">
        <v>2</v>
      </c>
      <c r="G21" s="3" t="s">
        <v>52</v>
      </c>
      <c r="H21" s="99"/>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row>
    <row r="22" spans="1:37" x14ac:dyDescent="0.35">
      <c r="F22" s="72">
        <v>3</v>
      </c>
    </row>
    <row r="23" spans="1:37" x14ac:dyDescent="0.35">
      <c r="A23" s="5" t="s">
        <v>109</v>
      </c>
      <c r="B23" s="8">
        <f>+HLOOKUP($B$20,$G$20:$AN$27,F23,FALSE)</f>
        <v>459.55068038999997</v>
      </c>
      <c r="C23" s="8">
        <f>+HLOOKUP($C$20,$G$20:$AM$27,F23,FALSE)</f>
        <v>443.4</v>
      </c>
      <c r="D23" s="46">
        <f>C23/B23-1</f>
        <v>-3.51445032706591E-2</v>
      </c>
      <c r="F23" s="72">
        <v>4</v>
      </c>
      <c r="G23" s="5" t="s">
        <v>110</v>
      </c>
      <c r="H23" s="34"/>
      <c r="I23" s="34"/>
      <c r="J23" s="34"/>
      <c r="K23" s="34"/>
      <c r="L23" s="34"/>
      <c r="M23" s="34"/>
      <c r="N23" s="34"/>
      <c r="O23" s="34"/>
      <c r="P23" s="8">
        <v>378.24112093999997</v>
      </c>
      <c r="Q23" s="8">
        <v>383.03361709000001</v>
      </c>
      <c r="R23" s="8">
        <v>378.53295608000002</v>
      </c>
      <c r="S23" s="8">
        <v>362.88383331</v>
      </c>
      <c r="T23" s="8">
        <v>360.77624745000003</v>
      </c>
      <c r="U23" s="8">
        <v>361.36130248000001</v>
      </c>
      <c r="V23" s="8">
        <v>350.57789079999998</v>
      </c>
      <c r="W23" s="8">
        <v>354.02454993999999</v>
      </c>
      <c r="X23" s="8">
        <v>350.32716904</v>
      </c>
      <c r="Y23" s="8">
        <v>354.05027138999998</v>
      </c>
      <c r="Z23" s="8">
        <v>345.42533279000003</v>
      </c>
      <c r="AA23" s="8">
        <v>349.08628279999994</v>
      </c>
      <c r="AB23" s="8">
        <v>339.90893800999993</v>
      </c>
      <c r="AC23" s="8">
        <v>468.84071018999998</v>
      </c>
      <c r="AD23" s="8">
        <v>457.15983081000002</v>
      </c>
      <c r="AE23" s="8">
        <v>459.26191867999995</v>
      </c>
      <c r="AF23" s="8">
        <v>467.17529721000005</v>
      </c>
      <c r="AG23" s="8">
        <v>472.33425562999997</v>
      </c>
      <c r="AH23" s="8">
        <v>458.54614094999999</v>
      </c>
      <c r="AI23" s="8">
        <f>+'[1]Carp Dir'!$I$4+'[1]Carp Dir'!$I$12</f>
        <v>459.55068038999997</v>
      </c>
      <c r="AJ23" s="8">
        <v>443.4</v>
      </c>
      <c r="AK23" s="54"/>
    </row>
    <row r="24" spans="1:37" x14ac:dyDescent="0.35">
      <c r="A24" s="5" t="s">
        <v>111</v>
      </c>
      <c r="B24" s="8">
        <f t="shared" ref="B24:B27" si="17">+HLOOKUP($B$20,$G$20:$AN$27,F24,FALSE)</f>
        <v>28.840882880000002</v>
      </c>
      <c r="C24" s="8">
        <f t="shared" ref="C24:C27" si="18">+HLOOKUP($C$20,$G$20:$AM$27,F24,FALSE)</f>
        <v>21.843691669999998</v>
      </c>
      <c r="D24" s="46">
        <f t="shared" ref="D24:D27" si="19">C24/B24-1</f>
        <v>-0.24261362729822245</v>
      </c>
      <c r="F24" s="72">
        <v>5</v>
      </c>
      <c r="G24" s="5" t="s">
        <v>111</v>
      </c>
      <c r="H24" s="34"/>
      <c r="I24" s="34"/>
      <c r="J24" s="34"/>
      <c r="K24" s="34"/>
      <c r="L24" s="34"/>
      <c r="M24" s="34"/>
      <c r="N24" s="34"/>
      <c r="O24" s="34"/>
      <c r="P24" s="8">
        <v>20.63219316</v>
      </c>
      <c r="Q24" s="8">
        <v>26.780675710000001</v>
      </c>
      <c r="R24" s="8">
        <v>42.75403962</v>
      </c>
      <c r="S24" s="8">
        <v>22.031641610000001</v>
      </c>
      <c r="T24" s="8">
        <v>38.979379139999999</v>
      </c>
      <c r="U24" s="8">
        <v>37.818563949999998</v>
      </c>
      <c r="V24" s="8">
        <v>43.233564700000002</v>
      </c>
      <c r="W24" s="8">
        <v>52.868302270000001</v>
      </c>
      <c r="X24" s="8">
        <v>40.557920690000003</v>
      </c>
      <c r="Y24" s="8">
        <v>52.415248669999997</v>
      </c>
      <c r="Z24" s="8">
        <v>46.437148880000002</v>
      </c>
      <c r="AA24" s="8">
        <v>23.703605549999995</v>
      </c>
      <c r="AB24" s="8">
        <v>13.024790019999999</v>
      </c>
      <c r="AC24" s="8">
        <v>17.493595700000004</v>
      </c>
      <c r="AD24" s="8">
        <v>13.350601600000001</v>
      </c>
      <c r="AE24" s="8">
        <v>23.76704196</v>
      </c>
      <c r="AF24" s="8">
        <v>28.67485688</v>
      </c>
      <c r="AG24" s="8">
        <v>41.006628720000002</v>
      </c>
      <c r="AH24" s="8">
        <v>27.388743770000005</v>
      </c>
      <c r="AI24" s="8">
        <f>+'[1]Carp Dir'!$D$4</f>
        <v>28.840882880000002</v>
      </c>
      <c r="AJ24" s="8">
        <v>21.843691669999998</v>
      </c>
      <c r="AK24" s="90"/>
    </row>
    <row r="25" spans="1:37" x14ac:dyDescent="0.35">
      <c r="A25" s="5" t="s">
        <v>112</v>
      </c>
      <c r="B25" s="8">
        <f t="shared" si="17"/>
        <v>430.70979750999999</v>
      </c>
      <c r="C25" s="91">
        <f t="shared" si="18"/>
        <v>421.55630832999998</v>
      </c>
      <c r="D25" s="46">
        <f t="shared" si="19"/>
        <v>-2.1252103464833527E-2</v>
      </c>
      <c r="F25" s="72">
        <v>6</v>
      </c>
      <c r="G25" s="5" t="s">
        <v>112</v>
      </c>
      <c r="H25" s="34"/>
      <c r="I25" s="34"/>
      <c r="J25" s="34"/>
      <c r="K25" s="34"/>
      <c r="L25" s="34"/>
      <c r="M25" s="34"/>
      <c r="N25" s="34"/>
      <c r="O25" s="34"/>
      <c r="P25" s="8">
        <f>P23-P24</f>
        <v>357.60892777999999</v>
      </c>
      <c r="Q25" s="8">
        <f t="shared" ref="Q25:V25" si="20">Q23-Q24</f>
        <v>356.25294137999998</v>
      </c>
      <c r="R25" s="8">
        <f t="shared" si="20"/>
        <v>335.77891646</v>
      </c>
      <c r="S25" s="8">
        <f t="shared" si="20"/>
        <v>340.85219169999999</v>
      </c>
      <c r="T25" s="8">
        <f t="shared" si="20"/>
        <v>321.79686831000004</v>
      </c>
      <c r="U25" s="8">
        <f>U23-U24</f>
        <v>323.54273853000001</v>
      </c>
      <c r="V25" s="8">
        <f t="shared" si="20"/>
        <v>307.34432609999999</v>
      </c>
      <c r="W25" s="8">
        <f t="shared" ref="W25:X25" si="21">W23-W24</f>
        <v>301.15624766999997</v>
      </c>
      <c r="X25" s="8">
        <f t="shared" si="21"/>
        <v>309.76924835</v>
      </c>
      <c r="Y25" s="8">
        <f t="shared" ref="Y25:Z25" si="22">Y23-Y24</f>
        <v>301.63502271999999</v>
      </c>
      <c r="Z25" s="8">
        <f t="shared" si="22"/>
        <v>298.98818391000003</v>
      </c>
      <c r="AA25" s="8">
        <v>325.38267724999997</v>
      </c>
      <c r="AB25" s="8">
        <f t="shared" ref="AB25:AG25" si="23">+AB23-AB24</f>
        <v>326.88414798999992</v>
      </c>
      <c r="AC25" s="8">
        <f t="shared" si="23"/>
        <v>451.34711448999997</v>
      </c>
      <c r="AD25" s="8">
        <f t="shared" si="23"/>
        <v>443.80922921000001</v>
      </c>
      <c r="AE25" s="8">
        <f t="shared" si="23"/>
        <v>435.49487671999998</v>
      </c>
      <c r="AF25" s="8">
        <f t="shared" si="23"/>
        <v>438.50044033000006</v>
      </c>
      <c r="AG25" s="8">
        <f t="shared" si="23"/>
        <v>431.32762690999999</v>
      </c>
      <c r="AH25" s="8">
        <v>431.15739717999998</v>
      </c>
      <c r="AI25" s="8">
        <f>+AI23-AI24</f>
        <v>430.70979750999999</v>
      </c>
      <c r="AJ25" s="8">
        <f>+AJ23-AJ24</f>
        <v>421.55630832999998</v>
      </c>
      <c r="AK25" s="90"/>
    </row>
    <row r="26" spans="1:37" x14ac:dyDescent="0.35">
      <c r="A26" s="5" t="s">
        <v>113</v>
      </c>
      <c r="B26" s="8">
        <f t="shared" si="17"/>
        <v>65.112546980000005</v>
      </c>
      <c r="C26" s="8">
        <f t="shared" si="18"/>
        <v>62.386580030000005</v>
      </c>
      <c r="D26" s="46">
        <f t="shared" si="19"/>
        <v>-4.1865463362035449E-2</v>
      </c>
      <c r="F26" s="72">
        <v>7</v>
      </c>
      <c r="G26" s="5" t="s">
        <v>113</v>
      </c>
      <c r="H26" s="34"/>
      <c r="I26" s="34"/>
      <c r="J26" s="34"/>
      <c r="K26" s="34"/>
      <c r="L26" s="34"/>
      <c r="M26" s="34"/>
      <c r="N26" s="34"/>
      <c r="O26" s="34"/>
      <c r="P26" s="8">
        <v>52.496359250000012</v>
      </c>
      <c r="Q26" s="8">
        <v>43.236194240000017</v>
      </c>
      <c r="R26" s="8">
        <v>46.363594150000011</v>
      </c>
      <c r="S26" s="8">
        <f>SUM('Operating Income'!Q85:T85)</f>
        <v>56.038916260000008</v>
      </c>
      <c r="T26" s="8">
        <f>SUM('Operating Income'!R85:U85)</f>
        <v>50.73002218000002</v>
      </c>
      <c r="U26" s="8">
        <f>SUM('Operating Income'!S85:V85)</f>
        <v>52.520309130000015</v>
      </c>
      <c r="V26" s="8">
        <f>SUM('Operating Income'!T85:W85)</f>
        <v>49.897649080000001</v>
      </c>
      <c r="W26" s="8">
        <f>SUM('Operating Income'!U85:X85)</f>
        <v>53.585730650000002</v>
      </c>
      <c r="X26" s="8">
        <f>SUM('Operating Income'!V85:Y85)</f>
        <v>52.09403240999999</v>
      </c>
      <c r="Y26" s="8">
        <f>SUM('Operating Income'!W85:Z85)</f>
        <v>53.503672749999993</v>
      </c>
      <c r="Z26" s="8">
        <f>SUM('Operating Income'!X85:AA85)</f>
        <v>47.392068980000005</v>
      </c>
      <c r="AA26" s="8">
        <v>35.739567069999993</v>
      </c>
      <c r="AB26" s="8">
        <f>+SUM('Operating Income'!Z85:AC85)</f>
        <v>42.880847799999998</v>
      </c>
      <c r="AC26" s="8">
        <f>+SUM('Operating Income'!AA85:AD85)</f>
        <v>49.031741759999996</v>
      </c>
      <c r="AD26" s="8">
        <f>+SUM('Operating Income'!AB85:AE85)</f>
        <v>57.662942970000003</v>
      </c>
      <c r="AE26" s="8">
        <f>SUM('Operating Income'!AC85:AF85)</f>
        <v>69.930086569999986</v>
      </c>
      <c r="AF26" s="8">
        <v>76.863636579999991</v>
      </c>
      <c r="AG26" s="8">
        <f>+SUM('Operating Income'!AE85:AH85)</f>
        <v>68.243780909999998</v>
      </c>
      <c r="AH26" s="8">
        <f>+SUM('Operating Income'!AF85:AI85)</f>
        <v>67.910901170000002</v>
      </c>
      <c r="AI26" s="8">
        <v>65.112546980000005</v>
      </c>
      <c r="AJ26" s="8">
        <v>62.386580030000005</v>
      </c>
    </row>
    <row r="27" spans="1:37" x14ac:dyDescent="0.35">
      <c r="A27" s="5" t="s">
        <v>114</v>
      </c>
      <c r="B27" s="8">
        <f t="shared" si="17"/>
        <v>6.6148510154624569</v>
      </c>
      <c r="C27" s="8">
        <f t="shared" si="18"/>
        <v>6.7571632894011024</v>
      </c>
      <c r="D27" s="46">
        <f t="shared" si="19"/>
        <v>2.1514055812592803E-2</v>
      </c>
      <c r="F27" s="72">
        <v>8</v>
      </c>
      <c r="G27" s="5" t="s">
        <v>114</v>
      </c>
      <c r="H27" s="34"/>
      <c r="I27" s="34"/>
      <c r="J27" s="34"/>
      <c r="K27" s="34"/>
      <c r="L27" s="34"/>
      <c r="M27" s="34"/>
      <c r="N27" s="34"/>
      <c r="O27" s="34"/>
      <c r="P27" s="8">
        <f t="shared" ref="P27" si="24">P25/P26</f>
        <v>6.812071025287338</v>
      </c>
      <c r="Q27" s="8">
        <f t="shared" ref="Q27" si="25">Q25/Q26</f>
        <v>8.2396924068402893</v>
      </c>
      <c r="R27" s="8">
        <f t="shared" ref="R27" si="26">R25/R26</f>
        <v>7.2422969490599751</v>
      </c>
      <c r="S27" s="8">
        <f t="shared" ref="S27:V27" si="27">S25/S26</f>
        <v>6.082419405089329</v>
      </c>
      <c r="T27" s="8">
        <f t="shared" si="27"/>
        <v>6.3433220503669787</v>
      </c>
      <c r="U27" s="8">
        <f t="shared" si="27"/>
        <v>6.1603357613367482</v>
      </c>
      <c r="V27" s="8">
        <f t="shared" si="27"/>
        <v>6.1594951218491349</v>
      </c>
      <c r="W27" s="8">
        <f t="shared" ref="W27:X27" si="28">W25/W26</f>
        <v>5.6200828843228612</v>
      </c>
      <c r="X27" s="8">
        <f t="shared" si="28"/>
        <v>5.9463480559922361</v>
      </c>
      <c r="Y27" s="8">
        <f t="shared" ref="Y27" si="29">Y25/Y26</f>
        <v>5.6376507857584421</v>
      </c>
      <c r="Z27" s="8">
        <f>Z25/Z26</f>
        <v>6.3088231922555744</v>
      </c>
      <c r="AA27" s="8">
        <f>AA25/AA26</f>
        <v>9.1042702507476125</v>
      </c>
      <c r="AB27" s="8">
        <f t="shared" ref="AB27:AH27" si="30">+AB25/AB26</f>
        <v>7.6230803438079393</v>
      </c>
      <c r="AC27" s="8">
        <f t="shared" si="30"/>
        <v>9.2052025542810334</v>
      </c>
      <c r="AD27" s="8">
        <f t="shared" si="30"/>
        <v>7.6966107928431313</v>
      </c>
      <c r="AE27" s="8">
        <f t="shared" si="30"/>
        <v>6.2275752552382411</v>
      </c>
      <c r="AF27" s="8">
        <f t="shared" si="30"/>
        <v>5.7049140509193448</v>
      </c>
      <c r="AG27" s="8">
        <f t="shared" si="30"/>
        <v>6.3203946375543802</v>
      </c>
      <c r="AH27" s="8">
        <f t="shared" si="30"/>
        <v>6.3488687346482457</v>
      </c>
      <c r="AI27" s="8">
        <f>+AI25/AI26</f>
        <v>6.6148510154624569</v>
      </c>
      <c r="AJ27" s="8">
        <f>+AJ25/AJ26</f>
        <v>6.7571632894011024</v>
      </c>
    </row>
    <row r="29" spans="1:37" x14ac:dyDescent="0.35">
      <c r="G29" s="1" t="s">
        <v>115</v>
      </c>
      <c r="R29" s="33"/>
      <c r="S29" s="33"/>
      <c r="T29" s="33"/>
      <c r="U29" s="33"/>
      <c r="V29" s="33"/>
      <c r="W29" s="33"/>
      <c r="X29" s="33"/>
      <c r="Y29" s="33"/>
      <c r="Z29" s="33"/>
      <c r="AA29" s="33"/>
      <c r="AB29" s="33"/>
      <c r="AC29" s="33"/>
      <c r="AD29" s="33"/>
      <c r="AE29" s="33"/>
      <c r="AF29" s="33"/>
      <c r="AG29" s="33"/>
      <c r="AH29" s="33"/>
      <c r="AI29" s="33"/>
      <c r="AJ29" s="33"/>
    </row>
    <row r="30" spans="1:37" x14ac:dyDescent="0.35">
      <c r="B30" s="52"/>
    </row>
    <row r="31" spans="1:37" ht="119.25" customHeight="1" x14ac:dyDescent="0.35">
      <c r="A31" s="104" t="s">
        <v>133</v>
      </c>
      <c r="B31" s="104"/>
      <c r="C31" s="104"/>
      <c r="D31" s="104"/>
    </row>
  </sheetData>
  <mergeCells count="65">
    <mergeCell ref="A31:D31"/>
    <mergeCell ref="P6:P7"/>
    <mergeCell ref="W6:W7"/>
    <mergeCell ref="W20:W21"/>
    <mergeCell ref="S6:S7"/>
    <mergeCell ref="T6:T7"/>
    <mergeCell ref="U6:U7"/>
    <mergeCell ref="V6:V7"/>
    <mergeCell ref="Q6:Q7"/>
    <mergeCell ref="R6:R7"/>
    <mergeCell ref="U20:U21"/>
    <mergeCell ref="V20:V21"/>
    <mergeCell ref="O20:O21"/>
    <mergeCell ref="P20:P21"/>
    <mergeCell ref="Q20:Q21"/>
    <mergeCell ref="B6:B7"/>
    <mergeCell ref="C6:C7"/>
    <mergeCell ref="D6:D7"/>
    <mergeCell ref="B20:B21"/>
    <mergeCell ref="C20:C21"/>
    <mergeCell ref="D20:D21"/>
    <mergeCell ref="O6:O7"/>
    <mergeCell ref="H6:H7"/>
    <mergeCell ref="H20:H21"/>
    <mergeCell ref="I6:I7"/>
    <mergeCell ref="J6:J7"/>
    <mergeCell ref="K6:K7"/>
    <mergeCell ref="I20:I21"/>
    <mergeCell ref="J20:J21"/>
    <mergeCell ref="K20:K21"/>
    <mergeCell ref="L20:L21"/>
    <mergeCell ref="M20:M21"/>
    <mergeCell ref="N20:N21"/>
    <mergeCell ref="M6:M7"/>
    <mergeCell ref="N6:N7"/>
    <mergeCell ref="L6:L7"/>
    <mergeCell ref="R20:R21"/>
    <mergeCell ref="S20:S21"/>
    <mergeCell ref="AB6:AB7"/>
    <mergeCell ref="AB20:AB21"/>
    <mergeCell ref="Z6:Z7"/>
    <mergeCell ref="Z20:Z21"/>
    <mergeCell ref="Y6:Y7"/>
    <mergeCell ref="Y20:Y21"/>
    <mergeCell ref="AA6:AA7"/>
    <mergeCell ref="AA20:AA21"/>
    <mergeCell ref="X6:X7"/>
    <mergeCell ref="X20:X21"/>
    <mergeCell ref="T20:T21"/>
    <mergeCell ref="AD6:AD7"/>
    <mergeCell ref="AD20:AD21"/>
    <mergeCell ref="AC6:AC7"/>
    <mergeCell ref="AC20:AC21"/>
    <mergeCell ref="AF6:AF7"/>
    <mergeCell ref="AF20:AF21"/>
    <mergeCell ref="AE20:AE21"/>
    <mergeCell ref="AE6:AE7"/>
    <mergeCell ref="AJ6:AJ7"/>
    <mergeCell ref="AJ20:AJ21"/>
    <mergeCell ref="AH6:AH7"/>
    <mergeCell ref="AH20:AH21"/>
    <mergeCell ref="AG6:AG7"/>
    <mergeCell ref="AG20:AG21"/>
    <mergeCell ref="AI6:AI7"/>
    <mergeCell ref="AI20:AI21"/>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4:L22"/>
  <sheetViews>
    <sheetView zoomScale="90" zoomScaleNormal="90" workbookViewId="0">
      <selection activeCell="O26" sqref="O26"/>
    </sheetView>
  </sheetViews>
  <sheetFormatPr baseColWidth="10" defaultColWidth="11.44140625" defaultRowHeight="14.4" x14ac:dyDescent="0.35"/>
  <cols>
    <col min="1" max="1" width="27.33203125" style="47" customWidth="1"/>
    <col min="2" max="2" width="7.88671875" style="47" hidden="1" customWidth="1"/>
    <col min="3" max="12" width="7.88671875" style="47" customWidth="1"/>
    <col min="13" max="15" width="8" style="47" customWidth="1"/>
    <col min="16" max="16384" width="11.44140625" style="47"/>
  </cols>
  <sheetData>
    <row r="4" spans="1:12" ht="23.4" x14ac:dyDescent="0.45">
      <c r="A4" s="12" t="s">
        <v>0</v>
      </c>
      <c r="B4" s="13"/>
      <c r="C4" s="13"/>
      <c r="D4" s="13"/>
      <c r="E4" s="13"/>
      <c r="F4" s="13"/>
      <c r="G4" s="13"/>
      <c r="H4" s="13"/>
      <c r="I4" s="13"/>
      <c r="J4" s="13"/>
      <c r="K4" s="13"/>
      <c r="L4" s="13"/>
    </row>
    <row r="5" spans="1:12" ht="14.25" customHeight="1" x14ac:dyDescent="0.35">
      <c r="A5" s="1"/>
      <c r="B5" s="1"/>
    </row>
    <row r="6" spans="1:12" x14ac:dyDescent="0.35">
      <c r="A6" s="3" t="s">
        <v>116</v>
      </c>
      <c r="B6" s="99">
        <v>2018</v>
      </c>
      <c r="C6" s="99">
        <v>2021</v>
      </c>
      <c r="D6" s="99">
        <v>2022</v>
      </c>
      <c r="E6" s="99">
        <v>2023</v>
      </c>
      <c r="F6" s="99">
        <v>2024</v>
      </c>
      <c r="G6" s="99">
        <v>2025</v>
      </c>
      <c r="H6" s="99">
        <v>2026</v>
      </c>
      <c r="I6" s="99">
        <v>2027</v>
      </c>
      <c r="J6" s="99">
        <v>2028</v>
      </c>
      <c r="K6" s="99">
        <v>2029</v>
      </c>
      <c r="L6" s="99">
        <v>2030</v>
      </c>
    </row>
    <row r="7" spans="1:12" x14ac:dyDescent="0.35">
      <c r="A7" s="3" t="s">
        <v>52</v>
      </c>
      <c r="B7" s="99"/>
      <c r="C7" s="99"/>
      <c r="D7" s="99"/>
      <c r="E7" s="99"/>
      <c r="F7" s="99"/>
      <c r="G7" s="99"/>
      <c r="H7" s="99"/>
      <c r="I7" s="99"/>
      <c r="J7" s="99"/>
      <c r="K7" s="99"/>
      <c r="L7" s="99"/>
    </row>
    <row r="8" spans="1:12" ht="8.25" customHeight="1" x14ac:dyDescent="0.35">
      <c r="A8" s="1"/>
      <c r="B8" s="1"/>
    </row>
    <row r="9" spans="1:12" ht="15" x14ac:dyDescent="0.35">
      <c r="A9" s="5" t="s">
        <v>117</v>
      </c>
      <c r="B9" s="7">
        <v>0</v>
      </c>
      <c r="C9" s="98">
        <v>36.1</v>
      </c>
      <c r="D9" s="98">
        <v>27.4</v>
      </c>
      <c r="E9" s="98">
        <v>27.4</v>
      </c>
      <c r="F9" s="98">
        <v>184.8</v>
      </c>
      <c r="G9" s="98">
        <v>27.4</v>
      </c>
      <c r="H9" s="98">
        <v>27.4</v>
      </c>
      <c r="I9" s="98">
        <v>527.4</v>
      </c>
      <c r="J9" s="58">
        <v>19</v>
      </c>
      <c r="K9" s="58">
        <v>5.3</v>
      </c>
      <c r="L9" s="58">
        <v>500</v>
      </c>
    </row>
    <row r="14" spans="1:12" ht="23.4" x14ac:dyDescent="0.45">
      <c r="A14" s="12" t="s">
        <v>46</v>
      </c>
      <c r="B14" s="13"/>
      <c r="C14" s="13"/>
      <c r="D14" s="13"/>
      <c r="E14" s="13"/>
      <c r="F14" s="13"/>
      <c r="G14" s="13"/>
      <c r="H14" s="13"/>
      <c r="I14" s="13"/>
      <c r="J14" s="13"/>
      <c r="K14" s="13"/>
      <c r="L14" s="13"/>
    </row>
    <row r="15" spans="1:12" ht="13.5" customHeight="1" x14ac:dyDescent="0.35">
      <c r="A15" s="1"/>
      <c r="B15" s="1"/>
    </row>
    <row r="16" spans="1:12" x14ac:dyDescent="0.35">
      <c r="A16" s="3" t="s">
        <v>116</v>
      </c>
      <c r="B16" s="99">
        <v>2018</v>
      </c>
      <c r="C16" s="99">
        <v>2021</v>
      </c>
      <c r="D16" s="99">
        <v>2022</v>
      </c>
      <c r="E16" s="99">
        <v>2023</v>
      </c>
      <c r="F16" s="99">
        <v>2024</v>
      </c>
      <c r="G16" s="99">
        <v>2025</v>
      </c>
      <c r="H16" s="99">
        <v>2026</v>
      </c>
      <c r="I16" s="99">
        <v>2027</v>
      </c>
      <c r="J16" s="101">
        <v>2028</v>
      </c>
      <c r="K16" s="99">
        <v>2029</v>
      </c>
      <c r="L16" s="99">
        <v>2030</v>
      </c>
    </row>
    <row r="17" spans="1:12" x14ac:dyDescent="0.35">
      <c r="A17" s="3" t="s">
        <v>52</v>
      </c>
      <c r="B17" s="99"/>
      <c r="C17" s="99"/>
      <c r="D17" s="99"/>
      <c r="E17" s="99"/>
      <c r="F17" s="99"/>
      <c r="G17" s="99"/>
      <c r="H17" s="99"/>
      <c r="I17" s="99"/>
      <c r="J17" s="101"/>
      <c r="K17" s="99"/>
      <c r="L17" s="99"/>
    </row>
    <row r="18" spans="1:12" x14ac:dyDescent="0.35">
      <c r="A18" s="1"/>
      <c r="B18" s="1"/>
    </row>
    <row r="19" spans="1:12" ht="15" x14ac:dyDescent="0.35">
      <c r="A19" s="5" t="s">
        <v>118</v>
      </c>
      <c r="B19" s="7">
        <v>0</v>
      </c>
      <c r="C19" s="97">
        <v>12</v>
      </c>
      <c r="D19" s="97">
        <v>27</v>
      </c>
      <c r="E19" s="97">
        <v>28</v>
      </c>
      <c r="F19" s="97">
        <v>24</v>
      </c>
      <c r="G19" s="97">
        <v>16</v>
      </c>
      <c r="H19" s="97">
        <v>18</v>
      </c>
      <c r="I19" s="97">
        <v>168</v>
      </c>
      <c r="J19" s="58">
        <v>0</v>
      </c>
      <c r="K19" s="58">
        <v>0</v>
      </c>
      <c r="L19" s="58">
        <v>0</v>
      </c>
    </row>
    <row r="22" spans="1:12" x14ac:dyDescent="0.35">
      <c r="A22" s="1" t="s">
        <v>119</v>
      </c>
      <c r="B22" s="1"/>
      <c r="C22" s="1"/>
      <c r="D22" s="1"/>
      <c r="E22" s="1"/>
      <c r="F22" s="1"/>
      <c r="G22" s="1"/>
      <c r="H22" s="1"/>
      <c r="I22" s="1"/>
    </row>
  </sheetData>
  <mergeCells count="22">
    <mergeCell ref="L6:L7"/>
    <mergeCell ref="L16:L17"/>
    <mergeCell ref="K6:K7"/>
    <mergeCell ref="C6:C7"/>
    <mergeCell ref="D6:D7"/>
    <mergeCell ref="J6:J7"/>
    <mergeCell ref="I6:I7"/>
    <mergeCell ref="B6:B7"/>
    <mergeCell ref="J16:J17"/>
    <mergeCell ref="K16:K17"/>
    <mergeCell ref="F16:F17"/>
    <mergeCell ref="G16:G17"/>
    <mergeCell ref="H16:H17"/>
    <mergeCell ref="I16:I17"/>
    <mergeCell ref="E6:E7"/>
    <mergeCell ref="E16:E17"/>
    <mergeCell ref="F6:F7"/>
    <mergeCell ref="G6:G7"/>
    <mergeCell ref="H6:H7"/>
    <mergeCell ref="B16:B17"/>
    <mergeCell ref="C16:C17"/>
    <mergeCell ref="D16:D17"/>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sheetPr>
  <dimension ref="A4:AM40"/>
  <sheetViews>
    <sheetView topLeftCell="B1" zoomScale="80" zoomScaleNormal="80" workbookViewId="0">
      <selection activeCell="AP30" sqref="AP30"/>
    </sheetView>
  </sheetViews>
  <sheetFormatPr baseColWidth="10" defaultColWidth="11.44140625" defaultRowHeight="14.4" x14ac:dyDescent="0.35"/>
  <cols>
    <col min="1" max="1" width="0" style="1" hidden="1" customWidth="1"/>
    <col min="2" max="2" width="57" style="1" customWidth="1"/>
    <col min="3" max="7" width="11.44140625" style="1"/>
    <col min="8" max="8" width="55.88671875" style="1" customWidth="1"/>
    <col min="9" max="23" width="11.44140625" style="1" customWidth="1"/>
    <col min="24" max="24" width="11.44140625" style="1"/>
    <col min="25" max="26" width="11.44140625" style="1" customWidth="1"/>
    <col min="27" max="16384" width="11.44140625" style="1"/>
  </cols>
  <sheetData>
    <row r="4" spans="1:39" ht="23.4" x14ac:dyDescent="0.45">
      <c r="B4" s="12" t="s">
        <v>0</v>
      </c>
      <c r="C4" s="13"/>
      <c r="D4" s="13"/>
      <c r="E4" s="13"/>
      <c r="H4" s="12" t="s">
        <v>0</v>
      </c>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row>
    <row r="6" spans="1:39" x14ac:dyDescent="0.35">
      <c r="A6" s="1">
        <v>1</v>
      </c>
      <c r="B6" s="3" t="s">
        <v>120</v>
      </c>
      <c r="C6" s="99" t="s">
        <v>3</v>
      </c>
      <c r="D6" s="99" t="s">
        <v>141</v>
      </c>
      <c r="E6" s="99" t="s">
        <v>4</v>
      </c>
      <c r="H6" s="3" t="s">
        <v>120</v>
      </c>
      <c r="I6" s="99" t="s">
        <v>6</v>
      </c>
      <c r="J6" s="99" t="s">
        <v>7</v>
      </c>
      <c r="K6" s="99" t="s">
        <v>8</v>
      </c>
      <c r="L6" s="99" t="s">
        <v>9</v>
      </c>
      <c r="M6" s="99" t="s">
        <v>10</v>
      </c>
      <c r="N6" s="99" t="s">
        <v>11</v>
      </c>
      <c r="O6" s="99" t="s">
        <v>12</v>
      </c>
      <c r="P6" s="99" t="s">
        <v>13</v>
      </c>
      <c r="Q6" s="99" t="s">
        <v>14</v>
      </c>
      <c r="R6" s="99" t="s">
        <v>15</v>
      </c>
      <c r="S6" s="99" t="s">
        <v>16</v>
      </c>
      <c r="T6" s="99" t="s">
        <v>17</v>
      </c>
      <c r="U6" s="99" t="s">
        <v>18</v>
      </c>
      <c r="V6" s="99" t="s">
        <v>19</v>
      </c>
      <c r="W6" s="99" t="s">
        <v>20</v>
      </c>
      <c r="X6" s="99" t="s">
        <v>21</v>
      </c>
      <c r="Y6" s="99" t="s">
        <v>22</v>
      </c>
      <c r="Z6" s="99" t="s">
        <v>23</v>
      </c>
      <c r="AA6" s="99" t="s">
        <v>24</v>
      </c>
      <c r="AB6" s="99" t="s">
        <v>2</v>
      </c>
      <c r="AC6" s="99" t="s">
        <v>25</v>
      </c>
      <c r="AD6" s="99" t="s">
        <v>26</v>
      </c>
      <c r="AE6" s="99" t="s">
        <v>27</v>
      </c>
      <c r="AF6" s="99" t="s">
        <v>3</v>
      </c>
      <c r="AG6" s="99" t="s">
        <v>128</v>
      </c>
      <c r="AH6" s="99" t="s">
        <v>130</v>
      </c>
      <c r="AI6" s="99" t="s">
        <v>139</v>
      </c>
      <c r="AJ6" s="99" t="s">
        <v>141</v>
      </c>
      <c r="AK6" s="99" t="s">
        <v>143</v>
      </c>
    </row>
    <row r="7" spans="1:39" x14ac:dyDescent="0.35">
      <c r="A7" s="1">
        <v>2</v>
      </c>
      <c r="B7" s="3" t="s">
        <v>52</v>
      </c>
      <c r="C7" s="99"/>
      <c r="D7" s="99"/>
      <c r="E7" s="99"/>
      <c r="H7" s="3" t="s">
        <v>52</v>
      </c>
      <c r="I7" s="99"/>
      <c r="J7" s="99"/>
      <c r="K7" s="99"/>
      <c r="L7" s="99"/>
      <c r="M7" s="99"/>
      <c r="N7" s="99"/>
      <c r="O7" s="99"/>
      <c r="P7" s="99"/>
      <c r="Q7" s="99"/>
      <c r="R7" s="99"/>
      <c r="S7" s="99"/>
      <c r="T7" s="99"/>
      <c r="U7" s="99"/>
      <c r="V7" s="99"/>
      <c r="W7" s="99"/>
      <c r="X7" s="99"/>
      <c r="Y7" s="99"/>
      <c r="Z7" s="99"/>
      <c r="AA7" s="99"/>
      <c r="AB7" s="99"/>
      <c r="AC7" s="99"/>
      <c r="AD7" s="99"/>
      <c r="AE7" s="99"/>
      <c r="AF7" s="99"/>
      <c r="AG7" s="99"/>
      <c r="AH7" s="99"/>
      <c r="AI7" s="99"/>
      <c r="AJ7" s="99"/>
      <c r="AK7" s="99"/>
    </row>
    <row r="8" spans="1:39" x14ac:dyDescent="0.35">
      <c r="A8" s="1">
        <v>3</v>
      </c>
    </row>
    <row r="9" spans="1:39" x14ac:dyDescent="0.35">
      <c r="A9" s="1">
        <v>4</v>
      </c>
      <c r="B9" s="6" t="s">
        <v>136</v>
      </c>
      <c r="C9" s="9">
        <f>+HLOOKUP($C$6,$H$6:$AR$18,A9,FALSE)</f>
        <v>766.85041991999992</v>
      </c>
      <c r="D9" s="9">
        <f>+HLOOKUP($D$6,$H$6:$AR$18,A9,FALSE)</f>
        <v>938.64969842999994</v>
      </c>
      <c r="E9" s="38">
        <f>D9/C9-1</f>
        <v>0.22403231979441651</v>
      </c>
      <c r="H9" s="6" t="s">
        <v>121</v>
      </c>
      <c r="I9" s="19">
        <v>260.39999999999998</v>
      </c>
      <c r="J9" s="9">
        <f t="shared" ref="J9:AC9" si="0">+I18</f>
        <v>208.29999999999998</v>
      </c>
      <c r="K9" s="9">
        <f t="shared" si="0"/>
        <v>337.4</v>
      </c>
      <c r="L9" s="9">
        <f t="shared" si="0"/>
        <v>878.3</v>
      </c>
      <c r="M9" s="9">
        <f t="shared" si="0"/>
        <v>832.8</v>
      </c>
      <c r="N9" s="9">
        <f t="shared" si="0"/>
        <v>816.69999999999993</v>
      </c>
      <c r="O9" s="9">
        <f t="shared" si="0"/>
        <v>912.49099999999987</v>
      </c>
      <c r="P9" s="9">
        <f t="shared" si="0"/>
        <v>1090.6089999999999</v>
      </c>
      <c r="Q9" s="9">
        <f t="shared" si="0"/>
        <v>1080.8256289999999</v>
      </c>
      <c r="R9" s="9">
        <f t="shared" si="0"/>
        <v>1042.8013145999998</v>
      </c>
      <c r="S9" s="9">
        <f t="shared" si="0"/>
        <v>827.98442899999998</v>
      </c>
      <c r="T9" s="9">
        <f t="shared" si="0"/>
        <v>577.45219999999995</v>
      </c>
      <c r="U9" s="9">
        <f t="shared" si="0"/>
        <v>644.96532536999996</v>
      </c>
      <c r="V9" s="9">
        <f t="shared" si="0"/>
        <v>625.20732536999992</v>
      </c>
      <c r="W9" s="9">
        <f t="shared" si="0"/>
        <v>642.65332536999983</v>
      </c>
      <c r="X9" s="9">
        <f t="shared" si="0"/>
        <v>732.58632536999994</v>
      </c>
      <c r="Y9" s="9">
        <f t="shared" si="0"/>
        <v>757.34441991999984</v>
      </c>
      <c r="Z9" s="9">
        <f t="shared" si="0"/>
        <v>840.16941991999988</v>
      </c>
      <c r="AA9" s="9">
        <f t="shared" si="0"/>
        <v>643.25441991999992</v>
      </c>
      <c r="AB9" s="9">
        <f t="shared" si="0"/>
        <v>738.24441991999993</v>
      </c>
      <c r="AC9" s="9">
        <f t="shared" si="0"/>
        <v>764.4089199199999</v>
      </c>
      <c r="AD9" s="9">
        <f>+AC18</f>
        <v>802.70891991999986</v>
      </c>
      <c r="AE9" s="9">
        <f>667.31511992-AE28</f>
        <v>649.84441992000006</v>
      </c>
      <c r="AF9" s="9">
        <v>766.85041991999992</v>
      </c>
      <c r="AG9" s="9">
        <f>797.42039843-AG28</f>
        <v>773.64969842999994</v>
      </c>
      <c r="AH9" s="9">
        <f>+AG18</f>
        <v>951.04969842999992</v>
      </c>
      <c r="AI9" s="9">
        <f>+AH18</f>
        <v>813.14969842999994</v>
      </c>
      <c r="AJ9" s="9">
        <f>966.02039843-AJ28</f>
        <v>938.64969842999994</v>
      </c>
      <c r="AK9" s="9">
        <f>+AJ18-AK28</f>
        <v>905.47899842999993</v>
      </c>
      <c r="AL9" s="54"/>
    </row>
    <row r="10" spans="1:39" ht="8.25" customHeight="1" x14ac:dyDescent="0.35">
      <c r="A10" s="1">
        <v>5</v>
      </c>
      <c r="I10" s="22"/>
      <c r="J10" s="22"/>
      <c r="K10" s="22"/>
      <c r="L10" s="22"/>
      <c r="M10" s="22"/>
      <c r="N10" s="22"/>
      <c r="O10" s="22"/>
      <c r="P10" s="22"/>
      <c r="AL10" s="54"/>
    </row>
    <row r="11" spans="1:39" x14ac:dyDescent="0.35">
      <c r="A11" s="1">
        <v>6</v>
      </c>
      <c r="B11" s="5" t="s">
        <v>122</v>
      </c>
      <c r="C11" s="8">
        <f>+HLOOKUP($C$6,$H$6:$AI$18,A11,FALSE)</f>
        <v>128.99599999999998</v>
      </c>
      <c r="D11" s="8">
        <f>+HLOOKUP($D$6,$H$6:$AR$18,A11,FALSE)</f>
        <v>139.4</v>
      </c>
      <c r="E11" s="36">
        <f>+D11/C11-1</f>
        <v>8.0653663679494114E-2</v>
      </c>
      <c r="H11" s="5" t="s">
        <v>122</v>
      </c>
      <c r="I11" s="18">
        <v>83.1</v>
      </c>
      <c r="J11" s="18">
        <v>196.8</v>
      </c>
      <c r="K11" s="18">
        <v>148.9</v>
      </c>
      <c r="L11" s="18">
        <v>166.8</v>
      </c>
      <c r="M11" s="18">
        <v>77.2</v>
      </c>
      <c r="N11" s="18">
        <v>157.346</v>
      </c>
      <c r="O11" s="18">
        <v>235.101</v>
      </c>
      <c r="P11" s="18">
        <v>248.51662899999999</v>
      </c>
      <c r="Q11" s="8">
        <v>98.175600000000003</v>
      </c>
      <c r="R11" s="8">
        <v>151.8321</v>
      </c>
      <c r="S11" s="8">
        <v>100.69827099999998</v>
      </c>
      <c r="T11" s="8">
        <v>151.289929</v>
      </c>
      <c r="U11" s="8">
        <v>87.41</v>
      </c>
      <c r="V11" s="8">
        <v>118.98099999999998</v>
      </c>
      <c r="W11" s="8">
        <v>145.17400000000004</v>
      </c>
      <c r="X11" s="8">
        <v>172.24999999999994</v>
      </c>
      <c r="Y11" s="8">
        <v>121.57799999999999</v>
      </c>
      <c r="Z11" s="8">
        <v>83.737000000000023</v>
      </c>
      <c r="AA11" s="8">
        <v>134.78500000000003</v>
      </c>
      <c r="AB11" s="8">
        <f>144.4-AB30</f>
        <v>142.709</v>
      </c>
      <c r="AC11" s="8">
        <f>78.3-AC30</f>
        <v>74.899999999999991</v>
      </c>
      <c r="AD11" s="8">
        <v>154</v>
      </c>
      <c r="AE11" s="8">
        <f>165.004-AE30</f>
        <v>151.304</v>
      </c>
      <c r="AF11" s="8">
        <v>128.99599999999998</v>
      </c>
      <c r="AG11" s="8">
        <f>97.9-AG30</f>
        <v>89.4</v>
      </c>
      <c r="AH11" s="8">
        <f>95.4-AH30</f>
        <v>78.900000000000006</v>
      </c>
      <c r="AI11" s="8">
        <f>183.2-AI30</f>
        <v>154.19999999999999</v>
      </c>
      <c r="AJ11" s="8">
        <f>148.9-AJ30</f>
        <v>139.4</v>
      </c>
      <c r="AK11" s="8">
        <f>111.92597-AK30</f>
        <v>96.825970000000012</v>
      </c>
      <c r="AL11" s="54"/>
      <c r="AM11" s="53"/>
    </row>
    <row r="12" spans="1:39" x14ac:dyDescent="0.35">
      <c r="A12" s="1">
        <v>7</v>
      </c>
      <c r="B12" s="5" t="s">
        <v>137</v>
      </c>
      <c r="C12" s="8">
        <f>+HLOOKUP($C$6,$H$6:$AR$18,A12,FALSE)</f>
        <v>-124.13100000000001</v>
      </c>
      <c r="D12" s="8">
        <f>+HLOOKUP($D$6,$H$6:$AR$18,A12,FALSE)</f>
        <v>-113.5</v>
      </c>
      <c r="E12" s="36">
        <f t="shared" ref="E12:E14" si="1">+D12/C12-1</f>
        <v>-8.5643392867213008E-2</v>
      </c>
      <c r="H12" s="5" t="s">
        <v>123</v>
      </c>
      <c r="I12" s="8">
        <v>-83.1</v>
      </c>
      <c r="J12" s="8">
        <v>-47.1</v>
      </c>
      <c r="K12" s="8">
        <v>430.9</v>
      </c>
      <c r="L12" s="8">
        <v>-184</v>
      </c>
      <c r="M12" s="8">
        <v>-67.3</v>
      </c>
      <c r="N12" s="8">
        <v>-41.454999999999998</v>
      </c>
      <c r="O12" s="8">
        <v>-29.039999999999992</v>
      </c>
      <c r="P12" s="8">
        <v>-31.8</v>
      </c>
      <c r="Q12" s="8">
        <v>-73.321899999999999</v>
      </c>
      <c r="R12" s="8">
        <v>-333.88489999999996</v>
      </c>
      <c r="S12" s="8">
        <v>-281.13549999999998</v>
      </c>
      <c r="T12" s="8">
        <v>-20.301699999999993</v>
      </c>
      <c r="U12" s="8">
        <v>-71.287000000000006</v>
      </c>
      <c r="V12" s="8">
        <v>-73.373999999999995</v>
      </c>
      <c r="W12" s="8">
        <v>-26.250000000000018</v>
      </c>
      <c r="X12" s="8">
        <v>-133.18200000000002</v>
      </c>
      <c r="Y12" s="8">
        <v>-1.7210000000000001</v>
      </c>
      <c r="Z12" s="8">
        <v>-234.536</v>
      </c>
      <c r="AA12" s="8">
        <v>-11.242999999999999</v>
      </c>
      <c r="AB12" s="8">
        <f>+-117.3-AB31</f>
        <v>-143.55599999999998</v>
      </c>
      <c r="AC12" s="8">
        <f>+-36.1-AC31</f>
        <v>-22.200000000000003</v>
      </c>
      <c r="AD12" s="8">
        <v>-284.3</v>
      </c>
      <c r="AE12" s="8">
        <f>+-29.469-AE31</f>
        <v>-12.069000000000003</v>
      </c>
      <c r="AF12" s="8">
        <v>-124.13100000000001</v>
      </c>
      <c r="AG12" s="8">
        <f>105.7-AG31</f>
        <v>104.60000000000001</v>
      </c>
      <c r="AH12" s="8">
        <f>+-199.8-AH31</f>
        <v>-200.4</v>
      </c>
      <c r="AI12" s="8">
        <f>+-33.2-AI31</f>
        <v>-11.800000000000004</v>
      </c>
      <c r="AJ12" s="8">
        <f>+-119.2-AJ31</f>
        <v>-113.5</v>
      </c>
      <c r="AK12" s="8">
        <f>+-37.515-AK31</f>
        <v>-14.065000000000001</v>
      </c>
      <c r="AL12" s="54"/>
      <c r="AM12" s="53"/>
    </row>
    <row r="13" spans="1:39" x14ac:dyDescent="0.35">
      <c r="A13" s="1">
        <v>8</v>
      </c>
      <c r="B13" s="5" t="s">
        <v>135</v>
      </c>
      <c r="C13" s="8">
        <f>+HLOOKUP($C$6,$H$6:$AR$18,A13,FALSE)</f>
        <v>3.2630000000000008</v>
      </c>
      <c r="D13" s="8">
        <f>+HLOOKUP($D$6,$H$6:$AR$18,A13,FALSE)</f>
        <v>-38.6</v>
      </c>
      <c r="E13" s="36">
        <f t="shared" si="1"/>
        <v>-12.829604658289915</v>
      </c>
      <c r="H13" s="5" t="s">
        <v>124</v>
      </c>
      <c r="I13" s="8">
        <v>-48.027000000000001</v>
      </c>
      <c r="J13" s="8">
        <v>-18.8</v>
      </c>
      <c r="K13" s="8">
        <v>-20.3</v>
      </c>
      <c r="L13" s="8">
        <v>-33.9</v>
      </c>
      <c r="M13" s="8">
        <v>-26.3</v>
      </c>
      <c r="N13" s="8">
        <v>-19.755999999999997</v>
      </c>
      <c r="O13" s="8">
        <v>-22.811000000000007</v>
      </c>
      <c r="P13" s="8">
        <v>-225</v>
      </c>
      <c r="Q13" s="8">
        <v>-27.2916144</v>
      </c>
      <c r="R13" s="8">
        <v>-35.178085600000003</v>
      </c>
      <c r="S13" s="8">
        <v>-70.541000000000011</v>
      </c>
      <c r="T13" s="8">
        <v>-61.438103630000001</v>
      </c>
      <c r="U13" s="8">
        <v>-36.849000000000004</v>
      </c>
      <c r="V13" s="8">
        <v>-27.785000000000032</v>
      </c>
      <c r="W13" s="8">
        <v>-32.204999999999977</v>
      </c>
      <c r="X13" s="8">
        <v>-22.740905450000017</v>
      </c>
      <c r="Y13" s="8">
        <v>-40.059999999999995</v>
      </c>
      <c r="Z13" s="8">
        <v>-30.340000000000011</v>
      </c>
      <c r="AA13" s="8">
        <v>-25.699999999999989</v>
      </c>
      <c r="AB13" s="8">
        <f>+-18-AB32</f>
        <v>32.133000000000003</v>
      </c>
      <c r="AC13" s="8">
        <f>+-17.6-AC32</f>
        <v>-17.100000000000001</v>
      </c>
      <c r="AD13" s="8">
        <v>-18.999999999999996</v>
      </c>
      <c r="AE13" s="8">
        <f>+-17.163-AE32</f>
        <v>-17.062999999999999</v>
      </c>
      <c r="AF13" s="8">
        <v>3.2630000000000008</v>
      </c>
      <c r="AG13" s="8">
        <f>+-18.6-AG32</f>
        <v>-14.500000000000002</v>
      </c>
      <c r="AH13" s="8">
        <f>+-18.3-AH32</f>
        <v>-13.700000000000001</v>
      </c>
      <c r="AI13" s="8">
        <f>+-42.3-AI32</f>
        <v>-21.4</v>
      </c>
      <c r="AJ13" s="8">
        <f>+-38.7-AJ32</f>
        <v>-38.6</v>
      </c>
      <c r="AK13" s="8">
        <f>+-11.9-AK32</f>
        <v>-11.397</v>
      </c>
      <c r="AL13" s="54"/>
      <c r="AM13" s="53"/>
    </row>
    <row r="14" spans="1:39" x14ac:dyDescent="0.35">
      <c r="A14" s="1">
        <v>9</v>
      </c>
      <c r="B14" s="20" t="s">
        <v>125</v>
      </c>
      <c r="C14" s="21">
        <f>+HLOOKUP($C$6,$H$6:$AR$18,A14,FALSE)</f>
        <v>8.1279999999999681</v>
      </c>
      <c r="D14" s="21">
        <f>+HLOOKUP($D$6,$H$6:$AR$18,A14,FALSE)</f>
        <v>-12.699999999999996</v>
      </c>
      <c r="E14" s="56">
        <f t="shared" si="1"/>
        <v>-2.5625000000000053</v>
      </c>
      <c r="H14" s="20" t="s">
        <v>125</v>
      </c>
      <c r="I14" s="21">
        <v>-48</v>
      </c>
      <c r="J14" s="21">
        <v>130.9</v>
      </c>
      <c r="K14" s="21">
        <v>559.4</v>
      </c>
      <c r="L14" s="21">
        <v>-51.099999999999987</v>
      </c>
      <c r="M14" s="21">
        <v>-16.399999999999995</v>
      </c>
      <c r="N14" s="21">
        <v>96.135000000000005</v>
      </c>
      <c r="O14" s="21">
        <v>183.25</v>
      </c>
      <c r="P14" s="21">
        <v>-8.2833710000000167</v>
      </c>
      <c r="Q14" s="21">
        <v>-2.4379144000000226</v>
      </c>
      <c r="R14" s="21">
        <f t="shared" ref="R14" si="2">SUM(R11:R13)</f>
        <v>-217.23088559999997</v>
      </c>
      <c r="S14" s="21">
        <f t="shared" ref="S14" si="3">SUM(S11:S13)</f>
        <v>-250.978229</v>
      </c>
      <c r="T14" s="21">
        <f t="shared" ref="T14" si="4">SUM(T11:T13)</f>
        <v>69.550125370000018</v>
      </c>
      <c r="U14" s="21">
        <f t="shared" ref="U14" si="5">SUM(U11:U13)</f>
        <v>-20.726000000000013</v>
      </c>
      <c r="V14" s="21">
        <f t="shared" ref="V14:W14" si="6">SUM(V11:V13)</f>
        <v>17.821999999999953</v>
      </c>
      <c r="W14" s="21">
        <f t="shared" si="6"/>
        <v>86.719000000000051</v>
      </c>
      <c r="X14" s="21">
        <f t="shared" ref="X14:AE14" si="7">SUM(X11:X13)</f>
        <v>16.327094549999909</v>
      </c>
      <c r="Y14" s="21">
        <f t="shared" si="7"/>
        <v>79.796999999999997</v>
      </c>
      <c r="Z14" s="21">
        <f t="shared" si="7"/>
        <v>-181.13899999999998</v>
      </c>
      <c r="AA14" s="21">
        <f t="shared" si="7"/>
        <v>97.842000000000041</v>
      </c>
      <c r="AB14" s="21">
        <f t="shared" si="7"/>
        <v>31.286000000000023</v>
      </c>
      <c r="AC14" s="21">
        <f t="shared" si="7"/>
        <v>35.599999999999987</v>
      </c>
      <c r="AD14" s="21">
        <f t="shared" si="7"/>
        <v>-149.30000000000001</v>
      </c>
      <c r="AE14" s="21">
        <f t="shared" si="7"/>
        <v>122.17200000000001</v>
      </c>
      <c r="AF14" s="21">
        <f t="shared" ref="AF14:AH14" si="8">SUM(AF11:AF13)</f>
        <v>8.1279999999999681</v>
      </c>
      <c r="AG14" s="21">
        <f t="shared" si="8"/>
        <v>179.5</v>
      </c>
      <c r="AH14" s="21">
        <f t="shared" si="8"/>
        <v>-135.19999999999999</v>
      </c>
      <c r="AI14" s="21">
        <f>SUM(AI11:AI13)</f>
        <v>120.99999999999997</v>
      </c>
      <c r="AJ14" s="21">
        <f>SUM(AJ11:AJ13)</f>
        <v>-12.699999999999996</v>
      </c>
      <c r="AK14" s="21">
        <f>SUM(AK11:AK13)</f>
        <v>71.363970000000009</v>
      </c>
      <c r="AL14" s="54"/>
      <c r="AM14" s="53"/>
    </row>
    <row r="15" spans="1:39" ht="8.25" customHeight="1" x14ac:dyDescent="0.35">
      <c r="A15" s="1">
        <v>10</v>
      </c>
      <c r="I15" s="22"/>
      <c r="J15" s="22"/>
      <c r="K15" s="22"/>
      <c r="L15" s="22"/>
      <c r="M15" s="22"/>
      <c r="N15" s="22"/>
      <c r="O15" s="22"/>
      <c r="P15" s="22"/>
      <c r="AL15" s="54"/>
    </row>
    <row r="16" spans="1:39" x14ac:dyDescent="0.35">
      <c r="A16" s="1">
        <v>11</v>
      </c>
      <c r="B16" s="5" t="s">
        <v>126</v>
      </c>
      <c r="C16" s="8">
        <f>+HLOOKUP($C$6,$H$6:$AR$18,A16,FALSE)</f>
        <v>-1.4340000000000006</v>
      </c>
      <c r="D16" s="8">
        <f>+HLOOKUP($D$6,$H$6:$AR$18,A16,FALSE)</f>
        <v>10.5</v>
      </c>
      <c r="E16" s="49" t="s">
        <v>44</v>
      </c>
      <c r="H16" s="5" t="s">
        <v>126</v>
      </c>
      <c r="I16" s="8">
        <v>-4</v>
      </c>
      <c r="J16" s="8">
        <v>-1.8</v>
      </c>
      <c r="K16" s="8">
        <v>-18.600000000000001</v>
      </c>
      <c r="L16" s="8">
        <v>5.6</v>
      </c>
      <c r="M16" s="8">
        <v>0.3</v>
      </c>
      <c r="N16" s="8">
        <v>-0.34399999999999997</v>
      </c>
      <c r="O16" s="8">
        <v>-5.1320000000000006</v>
      </c>
      <c r="P16" s="8">
        <v>-1.5</v>
      </c>
      <c r="Q16" s="18">
        <v>6.6130000000000004</v>
      </c>
      <c r="R16" s="18">
        <v>2.4139999999999988</v>
      </c>
      <c r="S16" s="18">
        <v>0.44600000000000151</v>
      </c>
      <c r="T16" s="18">
        <v>-2.0370000000000008</v>
      </c>
      <c r="U16" s="18">
        <v>0.96800000000000008</v>
      </c>
      <c r="V16" s="8">
        <v>-0.37600000000000011</v>
      </c>
      <c r="W16" s="8">
        <v>3.2140000000000004</v>
      </c>
      <c r="X16" s="8">
        <v>8.4310000000000009</v>
      </c>
      <c r="Y16" s="8">
        <v>3.0279999999999996</v>
      </c>
      <c r="Z16" s="8">
        <v>-15.776</v>
      </c>
      <c r="AA16" s="8">
        <v>-2.8520000000000016</v>
      </c>
      <c r="AB16" s="8">
        <f>+-5.6-AB35</f>
        <v>-5.1214999999999993</v>
      </c>
      <c r="AC16" s="8">
        <f>3-AC35</f>
        <v>2.7</v>
      </c>
      <c r="AD16" s="8">
        <v>-3.6</v>
      </c>
      <c r="AE16" s="8">
        <f>+-5.466-AE35</f>
        <v>-5.1660000000000004</v>
      </c>
      <c r="AF16" s="8">
        <v>-1.4340000000000006</v>
      </c>
      <c r="AG16" s="8">
        <f>+-2.7-AG35</f>
        <v>-2.1</v>
      </c>
      <c r="AH16" s="8">
        <f>+-2.9-AH35</f>
        <v>-2.6999999999999997</v>
      </c>
      <c r="AI16" s="8">
        <f>4.2-AI35</f>
        <v>4.5</v>
      </c>
      <c r="AJ16" s="8">
        <f>10.4-AJ35</f>
        <v>10.5</v>
      </c>
      <c r="AK16" s="8">
        <f>+-2.079-AK35</f>
        <v>-1.7330000000000001</v>
      </c>
      <c r="AL16" s="54"/>
    </row>
    <row r="17" spans="1:38" ht="8.25" customHeight="1" x14ac:dyDescent="0.35">
      <c r="A17" s="1">
        <v>12</v>
      </c>
      <c r="I17" s="22"/>
      <c r="J17" s="22"/>
      <c r="K17" s="22"/>
      <c r="L17" s="22"/>
      <c r="M17" s="22"/>
      <c r="N17" s="22"/>
      <c r="O17" s="22"/>
      <c r="P17" s="22"/>
      <c r="AL17" s="54"/>
    </row>
    <row r="18" spans="1:38" x14ac:dyDescent="0.35">
      <c r="A18" s="1">
        <v>13</v>
      </c>
      <c r="B18" s="6" t="s">
        <v>127</v>
      </c>
      <c r="C18" s="9">
        <f>+HLOOKUP($C$6,$H$6:$AR$18,A18,FALSE)</f>
        <v>773.54441991999988</v>
      </c>
      <c r="D18" s="9">
        <f>+HLOOKUP($D$6,$H$6:$AR$18,A18,FALSE)</f>
        <v>936.4496984299999</v>
      </c>
      <c r="E18" s="11">
        <f>D18/C18-1</f>
        <v>0.21059589380380728</v>
      </c>
      <c r="H18" s="6" t="s">
        <v>127</v>
      </c>
      <c r="I18" s="19">
        <v>208.29999999999998</v>
      </c>
      <c r="J18" s="19">
        <v>337.4</v>
      </c>
      <c r="K18" s="19">
        <v>878.3</v>
      </c>
      <c r="L18" s="19">
        <v>832.8</v>
      </c>
      <c r="M18" s="19">
        <v>816.69999999999993</v>
      </c>
      <c r="N18" s="19">
        <v>912.49099999999987</v>
      </c>
      <c r="O18" s="19">
        <v>1090.6089999999999</v>
      </c>
      <c r="P18" s="19">
        <v>1080.8256289999999</v>
      </c>
      <c r="Q18" s="9">
        <v>1042.8013145999998</v>
      </c>
      <c r="R18" s="9">
        <v>827.98442899999998</v>
      </c>
      <c r="S18" s="9">
        <v>577.45219999999995</v>
      </c>
      <c r="T18" s="9">
        <v>644.96532536999996</v>
      </c>
      <c r="U18" s="9">
        <f t="shared" ref="U18:Z18" si="9">U16+U14+U9</f>
        <v>625.20732536999992</v>
      </c>
      <c r="V18" s="9">
        <f t="shared" si="9"/>
        <v>642.65332536999983</v>
      </c>
      <c r="W18" s="9">
        <f t="shared" si="9"/>
        <v>732.58632536999994</v>
      </c>
      <c r="X18" s="9">
        <f t="shared" si="9"/>
        <v>757.34441991999984</v>
      </c>
      <c r="Y18" s="9">
        <f t="shared" si="9"/>
        <v>840.16941991999988</v>
      </c>
      <c r="Z18" s="9">
        <f t="shared" si="9"/>
        <v>643.25441991999992</v>
      </c>
      <c r="AA18" s="9">
        <f t="shared" ref="AA18:AH18" si="10">AA16+AA14+AA9</f>
        <v>738.24441991999993</v>
      </c>
      <c r="AB18" s="9">
        <f t="shared" si="10"/>
        <v>764.4089199199999</v>
      </c>
      <c r="AC18" s="9">
        <f t="shared" si="10"/>
        <v>802.70891991999986</v>
      </c>
      <c r="AD18" s="9">
        <f t="shared" si="10"/>
        <v>649.80891991999988</v>
      </c>
      <c r="AE18" s="9">
        <f t="shared" si="10"/>
        <v>766.85041992000004</v>
      </c>
      <c r="AF18" s="9">
        <f t="shared" si="10"/>
        <v>773.54441991999988</v>
      </c>
      <c r="AG18" s="9">
        <f t="shared" si="10"/>
        <v>951.04969842999992</v>
      </c>
      <c r="AH18" s="9">
        <f t="shared" si="10"/>
        <v>813.14969842999994</v>
      </c>
      <c r="AI18" s="9">
        <f>AI16+AI14+AI9</f>
        <v>938.64969842999994</v>
      </c>
      <c r="AJ18" s="9">
        <f>AJ16+AJ14+AJ9</f>
        <v>936.4496984299999</v>
      </c>
      <c r="AK18" s="9">
        <f>AK16+AK14+AK9</f>
        <v>975.10996842999998</v>
      </c>
      <c r="AL18" s="54"/>
    </row>
    <row r="23" spans="1:38" ht="23.4" x14ac:dyDescent="0.45">
      <c r="B23" s="12" t="s">
        <v>46</v>
      </c>
      <c r="C23" s="13"/>
      <c r="D23" s="13"/>
      <c r="E23" s="13"/>
      <c r="H23" s="12" t="s">
        <v>46</v>
      </c>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row>
    <row r="25" spans="1:38" x14ac:dyDescent="0.35">
      <c r="A25" s="1">
        <v>1</v>
      </c>
      <c r="B25" s="3" t="s">
        <v>120</v>
      </c>
      <c r="C25" s="99" t="s">
        <v>3</v>
      </c>
      <c r="D25" s="99" t="s">
        <v>141</v>
      </c>
      <c r="E25" s="99" t="s">
        <v>4</v>
      </c>
      <c r="H25" s="3" t="s">
        <v>120</v>
      </c>
      <c r="I25" s="99" t="s">
        <v>6</v>
      </c>
      <c r="J25" s="99" t="s">
        <v>7</v>
      </c>
      <c r="K25" s="99" t="s">
        <v>8</v>
      </c>
      <c r="L25" s="99" t="s">
        <v>9</v>
      </c>
      <c r="M25" s="99" t="s">
        <v>10</v>
      </c>
      <c r="N25" s="99" t="s">
        <v>11</v>
      </c>
      <c r="O25" s="99" t="s">
        <v>12</v>
      </c>
      <c r="P25" s="99" t="s">
        <v>13</v>
      </c>
      <c r="Q25" s="99" t="s">
        <v>14</v>
      </c>
      <c r="R25" s="99" t="s">
        <v>15</v>
      </c>
      <c r="S25" s="99" t="s">
        <v>16</v>
      </c>
      <c r="T25" s="99" t="s">
        <v>17</v>
      </c>
      <c r="U25" s="99" t="s">
        <v>18</v>
      </c>
      <c r="V25" s="99" t="s">
        <v>19</v>
      </c>
      <c r="W25" s="99" t="s">
        <v>20</v>
      </c>
      <c r="X25" s="99" t="s">
        <v>21</v>
      </c>
      <c r="Y25" s="99" t="s">
        <v>22</v>
      </c>
      <c r="Z25" s="99" t="s">
        <v>23</v>
      </c>
      <c r="AA25" s="99" t="s">
        <v>24</v>
      </c>
      <c r="AB25" s="99" t="s">
        <v>2</v>
      </c>
      <c r="AC25" s="99" t="s">
        <v>25</v>
      </c>
      <c r="AD25" s="99" t="s">
        <v>26</v>
      </c>
      <c r="AE25" s="99" t="s">
        <v>27</v>
      </c>
      <c r="AF25" s="99" t="s">
        <v>3</v>
      </c>
      <c r="AG25" s="99" t="s">
        <v>128</v>
      </c>
      <c r="AH25" s="99" t="s">
        <v>130</v>
      </c>
      <c r="AI25" s="99" t="s">
        <v>139</v>
      </c>
      <c r="AJ25" s="99" t="s">
        <v>141</v>
      </c>
      <c r="AK25" s="99" t="s">
        <v>143</v>
      </c>
    </row>
    <row r="26" spans="1:38" x14ac:dyDescent="0.35">
      <c r="A26" s="1">
        <v>2</v>
      </c>
      <c r="B26" s="3" t="s">
        <v>52</v>
      </c>
      <c r="C26" s="99"/>
      <c r="D26" s="99"/>
      <c r="E26" s="99"/>
      <c r="H26" s="3" t="s">
        <v>52</v>
      </c>
      <c r="I26" s="99"/>
      <c r="J26" s="99"/>
      <c r="K26" s="99"/>
      <c r="L26" s="99"/>
      <c r="M26" s="99"/>
      <c r="N26" s="99"/>
      <c r="O26" s="99"/>
      <c r="P26" s="99"/>
      <c r="Q26" s="99"/>
      <c r="R26" s="99"/>
      <c r="S26" s="99"/>
      <c r="T26" s="99"/>
      <c r="U26" s="99"/>
      <c r="V26" s="99"/>
      <c r="W26" s="99"/>
      <c r="X26" s="99"/>
      <c r="Y26" s="99"/>
      <c r="Z26" s="99"/>
      <c r="AA26" s="99"/>
      <c r="AB26" s="99"/>
      <c r="AC26" s="99"/>
      <c r="AD26" s="99"/>
      <c r="AE26" s="99"/>
      <c r="AF26" s="99"/>
      <c r="AG26" s="99"/>
      <c r="AH26" s="99"/>
      <c r="AI26" s="99"/>
      <c r="AJ26" s="99"/>
      <c r="AK26" s="99"/>
    </row>
    <row r="27" spans="1:38" x14ac:dyDescent="0.35">
      <c r="A27" s="1">
        <v>3</v>
      </c>
    </row>
    <row r="28" spans="1:38" x14ac:dyDescent="0.35">
      <c r="A28" s="1">
        <v>4</v>
      </c>
      <c r="B28" s="6" t="s">
        <v>136</v>
      </c>
      <c r="C28" s="9">
        <f>+HLOOKUP($C$25,$H$25:$AR$37,A28,FALSE)</f>
        <v>13.370700000000005</v>
      </c>
      <c r="D28" s="9">
        <f>+HLOOKUP($D$25,$H$25:$AR$37,A28,FALSE)</f>
        <v>27.37070000000001</v>
      </c>
      <c r="E28" s="38">
        <f>D28/C28-1</f>
        <v>1.0470655986597559</v>
      </c>
      <c r="H28" s="6" t="s">
        <v>121</v>
      </c>
      <c r="I28" s="19"/>
      <c r="J28" s="19"/>
      <c r="K28" s="19"/>
      <c r="L28" s="19"/>
      <c r="M28" s="19"/>
      <c r="N28" s="19"/>
      <c r="O28" s="19"/>
      <c r="P28" s="19"/>
      <c r="Q28" s="9">
        <v>42.199399999999997</v>
      </c>
      <c r="R28" s="9">
        <v>39.150300000000001</v>
      </c>
      <c r="S28" s="9">
        <v>40.120200000000004</v>
      </c>
      <c r="T28" s="9">
        <v>42.754200000000004</v>
      </c>
      <c r="U28" s="9">
        <v>22.031700000000008</v>
      </c>
      <c r="V28" s="9">
        <v>38.978700000000003</v>
      </c>
      <c r="W28" s="9">
        <v>37.817700000000002</v>
      </c>
      <c r="X28" s="9">
        <v>43.233699999999999</v>
      </c>
      <c r="Y28" s="9">
        <f>X37</f>
        <v>52.870699999999999</v>
      </c>
      <c r="Z28" s="9">
        <f>Y37</f>
        <v>40.570700000000002</v>
      </c>
      <c r="AA28" s="9">
        <f>Z37</f>
        <v>52.370699999999999</v>
      </c>
      <c r="AB28" s="9">
        <f>+AA37</f>
        <v>46.370699999999999</v>
      </c>
      <c r="AC28" s="9">
        <v>23.670700000000004</v>
      </c>
      <c r="AD28" s="9">
        <v>12.970700000000004</v>
      </c>
      <c r="AE28" s="9">
        <v>17.470700000000004</v>
      </c>
      <c r="AF28" s="9">
        <v>13.370700000000005</v>
      </c>
      <c r="AG28" s="9">
        <f t="shared" ref="AG28:AH28" si="11">+AF37</f>
        <v>23.770700000000005</v>
      </c>
      <c r="AH28" s="9">
        <f t="shared" si="11"/>
        <v>28.670700000000004</v>
      </c>
      <c r="AI28" s="9">
        <f>+AH37</f>
        <v>40.970700000000001</v>
      </c>
      <c r="AJ28" s="9">
        <v>27.37070000000001</v>
      </c>
      <c r="AK28" s="9">
        <v>30.970700000000008</v>
      </c>
    </row>
    <row r="29" spans="1:38" ht="8.25" customHeight="1" x14ac:dyDescent="0.35">
      <c r="A29" s="1">
        <v>5</v>
      </c>
      <c r="I29" s="22"/>
      <c r="J29" s="22"/>
      <c r="K29" s="22"/>
      <c r="L29" s="22"/>
      <c r="M29" s="22"/>
      <c r="N29" s="22"/>
      <c r="O29" s="22"/>
      <c r="P29" s="22"/>
    </row>
    <row r="30" spans="1:38" x14ac:dyDescent="0.35">
      <c r="A30" s="1">
        <v>6</v>
      </c>
      <c r="B30" s="5" t="s">
        <v>122</v>
      </c>
      <c r="C30" s="8">
        <f>+HLOOKUP($C$25,$H$25:$AR$37,A30,FALSE)</f>
        <v>18</v>
      </c>
      <c r="D30" s="8">
        <f>+HLOOKUP($D$25,$H$25:$AR$37,A30,FALSE)</f>
        <v>9.5</v>
      </c>
      <c r="E30" s="37">
        <f>+D30/C30-1</f>
        <v>-0.47222222222222221</v>
      </c>
      <c r="H30" s="5" t="s">
        <v>122</v>
      </c>
      <c r="I30" s="18"/>
      <c r="J30" s="18"/>
      <c r="K30" s="18"/>
      <c r="L30" s="18"/>
      <c r="M30" s="18"/>
      <c r="N30" s="18"/>
      <c r="O30" s="18"/>
      <c r="P30" s="18"/>
      <c r="Q30" s="8">
        <v>5.9664000000000001</v>
      </c>
      <c r="R30" s="8">
        <v>2.9929000000000006</v>
      </c>
      <c r="S30" s="8">
        <v>8.0600999999999985</v>
      </c>
      <c r="T30" s="8">
        <v>-1.1653000000000002</v>
      </c>
      <c r="U30" s="8">
        <v>24.838000000000001</v>
      </c>
      <c r="V30" s="8">
        <v>5.1729999999999983</v>
      </c>
      <c r="W30" s="8">
        <v>25.257000000000001</v>
      </c>
      <c r="X30" s="8">
        <v>21.855999999999995</v>
      </c>
      <c r="Y30" s="8">
        <v>9.1999999999999993</v>
      </c>
      <c r="Z30" s="8">
        <v>15.1</v>
      </c>
      <c r="AA30" s="8">
        <v>7.6</v>
      </c>
      <c r="AB30" s="8">
        <v>1.6910000000000025</v>
      </c>
      <c r="AC30" s="8">
        <v>3.4</v>
      </c>
      <c r="AD30" s="8">
        <v>20.7</v>
      </c>
      <c r="AE30" s="8">
        <v>13.7</v>
      </c>
      <c r="AF30" s="8">
        <v>18</v>
      </c>
      <c r="AG30" s="8">
        <v>8.5</v>
      </c>
      <c r="AH30" s="8">
        <v>16.5</v>
      </c>
      <c r="AI30" s="8">
        <v>29</v>
      </c>
      <c r="AJ30" s="8">
        <v>9.5</v>
      </c>
      <c r="AK30" s="8">
        <v>15.1</v>
      </c>
    </row>
    <row r="31" spans="1:38" x14ac:dyDescent="0.35">
      <c r="A31" s="1">
        <v>7</v>
      </c>
      <c r="B31" s="5" t="s">
        <v>138</v>
      </c>
      <c r="C31" s="8">
        <f>+HLOOKUP($C$25,$H$25:$AR$37,A31,FALSE)</f>
        <v>-4.3</v>
      </c>
      <c r="D31" s="8">
        <f>+HLOOKUP($D$25,$H$25:$AR$37,A31,FALSE)</f>
        <v>-5.7</v>
      </c>
      <c r="E31" s="37">
        <f>+D31/C31-1</f>
        <v>0.32558139534883734</v>
      </c>
      <c r="H31" s="5" t="s">
        <v>123</v>
      </c>
      <c r="I31" s="18"/>
      <c r="J31" s="18"/>
      <c r="K31" s="18"/>
      <c r="L31" s="18"/>
      <c r="M31" s="18"/>
      <c r="N31" s="18"/>
      <c r="O31" s="18"/>
      <c r="P31" s="18"/>
      <c r="Q31" s="8">
        <v>-8.8450999999999986</v>
      </c>
      <c r="R31" s="8">
        <v>-0.5151</v>
      </c>
      <c r="S31" s="8">
        <v>-4.3264999999999993</v>
      </c>
      <c r="T31" s="8">
        <v>-18.684299999999997</v>
      </c>
      <c r="U31" s="8">
        <v>-4.7039999999999997</v>
      </c>
      <c r="V31" s="8">
        <v>-3.0090000000000003</v>
      </c>
      <c r="W31" s="8">
        <v>-17.099</v>
      </c>
      <c r="X31" s="8">
        <v>-9.5029999999999966</v>
      </c>
      <c r="Y31" s="8">
        <v>-18</v>
      </c>
      <c r="Z31" s="8">
        <v>-0.7</v>
      </c>
      <c r="AA31" s="8">
        <v>-13</v>
      </c>
      <c r="AB31" s="8">
        <v>26.256</v>
      </c>
      <c r="AC31" s="8">
        <v>-13.9</v>
      </c>
      <c r="AD31" s="8">
        <v>-6.7</v>
      </c>
      <c r="AE31" s="8">
        <v>-17.399999999999999</v>
      </c>
      <c r="AF31" s="8">
        <v>-4.3</v>
      </c>
      <c r="AG31" s="8">
        <v>1.1000000000000001</v>
      </c>
      <c r="AH31" s="8">
        <v>0.6</v>
      </c>
      <c r="AI31" s="8">
        <v>-21.4</v>
      </c>
      <c r="AJ31" s="8">
        <v>-5.7</v>
      </c>
      <c r="AK31" s="8">
        <v>-23.45</v>
      </c>
    </row>
    <row r="32" spans="1:38" x14ac:dyDescent="0.35">
      <c r="A32" s="1">
        <v>8</v>
      </c>
      <c r="B32" s="5" t="s">
        <v>124</v>
      </c>
      <c r="C32" s="8">
        <f>+HLOOKUP($C$25,$H$25:$AR$37,A32,FALSE)</f>
        <v>-3.8</v>
      </c>
      <c r="D32" s="8">
        <f>+HLOOKUP($D$25,$H$25:$AR$37,A32,FALSE)</f>
        <v>-0.1</v>
      </c>
      <c r="E32" s="37" t="s">
        <v>44</v>
      </c>
      <c r="H32" s="5" t="s">
        <v>124</v>
      </c>
      <c r="I32" s="18"/>
      <c r="J32" s="18"/>
      <c r="K32" s="18"/>
      <c r="L32" s="18"/>
      <c r="M32" s="18"/>
      <c r="N32" s="18"/>
      <c r="O32" s="18"/>
      <c r="P32" s="18"/>
      <c r="Q32" s="8">
        <v>-0.1704</v>
      </c>
      <c r="R32" s="8">
        <v>-1.5079</v>
      </c>
      <c r="S32" s="8">
        <v>-1.0996000000000001</v>
      </c>
      <c r="T32" s="8">
        <v>-0.87290000000000001</v>
      </c>
      <c r="U32" s="8">
        <v>-3.5649999999999999</v>
      </c>
      <c r="V32" s="8">
        <v>-3.3409999999999997</v>
      </c>
      <c r="W32" s="8">
        <v>-1.5170000000000003</v>
      </c>
      <c r="X32" s="8">
        <v>-1.0719999999999992</v>
      </c>
      <c r="Y32" s="8">
        <v>-2.1</v>
      </c>
      <c r="Z32" s="8">
        <v>-1.9</v>
      </c>
      <c r="AA32" s="8">
        <v>-0.5</v>
      </c>
      <c r="AB32" s="8">
        <v>-50.133000000000003</v>
      </c>
      <c r="AC32" s="8">
        <v>-0.5</v>
      </c>
      <c r="AD32" s="8">
        <v>-9.6999999999999993</v>
      </c>
      <c r="AE32" s="8">
        <v>-0.1</v>
      </c>
      <c r="AF32" s="8">
        <v>-3.8</v>
      </c>
      <c r="AG32" s="8">
        <v>-4.0999999999999996</v>
      </c>
      <c r="AH32" s="8">
        <v>-4.5999999999999996</v>
      </c>
      <c r="AI32" s="8">
        <v>-20.9</v>
      </c>
      <c r="AJ32" s="8">
        <v>-0.1</v>
      </c>
      <c r="AK32" s="8">
        <v>-0.503</v>
      </c>
    </row>
    <row r="33" spans="1:37" x14ac:dyDescent="0.35">
      <c r="A33" s="1">
        <v>9</v>
      </c>
      <c r="B33" s="20" t="s">
        <v>125</v>
      </c>
      <c r="C33" s="21">
        <f>+HLOOKUP($C$25,$H$25:$AR$37,A33,FALSE)</f>
        <v>9.8999999999999986</v>
      </c>
      <c r="D33" s="21">
        <f>+HLOOKUP($D$25,$H$25:$AR$37,A33,FALSE)</f>
        <v>3.6999999999999997</v>
      </c>
      <c r="E33" s="56" t="s">
        <v>44</v>
      </c>
      <c r="H33" s="20" t="s">
        <v>125</v>
      </c>
      <c r="I33" s="23"/>
      <c r="J33" s="23"/>
      <c r="K33" s="23"/>
      <c r="L33" s="23"/>
      <c r="M33" s="23"/>
      <c r="N33" s="23"/>
      <c r="O33" s="23"/>
      <c r="P33" s="23"/>
      <c r="Q33" s="21">
        <v>-3.0490999999999984</v>
      </c>
      <c r="R33" s="21">
        <v>0.96990000000000065</v>
      </c>
      <c r="S33" s="21">
        <f t="shared" ref="S33" si="12">SUM(S30:S32)</f>
        <v>2.633999999999999</v>
      </c>
      <c r="T33" s="21">
        <f t="shared" ref="T33" si="13">SUM(T30:T32)</f>
        <v>-20.722499999999997</v>
      </c>
      <c r="U33" s="21">
        <f t="shared" ref="U33" si="14">SUM(U30:U32)</f>
        <v>16.568999999999999</v>
      </c>
      <c r="V33" s="21">
        <f t="shared" ref="V33:X33" si="15">SUM(V30:V32)</f>
        <v>-1.1770000000000018</v>
      </c>
      <c r="W33" s="21">
        <f t="shared" si="15"/>
        <v>6.6410000000000009</v>
      </c>
      <c r="X33" s="21">
        <f t="shared" si="15"/>
        <v>11.280999999999999</v>
      </c>
      <c r="Y33" s="21">
        <f>SUM(Y30:Y32)</f>
        <v>-10.9</v>
      </c>
      <c r="Z33" s="21">
        <v>12.5</v>
      </c>
      <c r="AA33" s="21">
        <v>-5.9</v>
      </c>
      <c r="AB33" s="21">
        <f t="shared" ref="AB33:AK33" si="16">+AB30+AB31+AB32</f>
        <v>-22.186</v>
      </c>
      <c r="AC33" s="21">
        <f t="shared" si="16"/>
        <v>-11</v>
      </c>
      <c r="AD33" s="21">
        <f t="shared" si="16"/>
        <v>4.3000000000000007</v>
      </c>
      <c r="AE33" s="21">
        <f t="shared" si="16"/>
        <v>-3.7999999999999994</v>
      </c>
      <c r="AF33" s="21">
        <f t="shared" si="16"/>
        <v>9.8999999999999986</v>
      </c>
      <c r="AG33" s="21">
        <f t="shared" si="16"/>
        <v>5.5</v>
      </c>
      <c r="AH33" s="21">
        <f t="shared" si="16"/>
        <v>12.500000000000002</v>
      </c>
      <c r="AI33" s="21">
        <f t="shared" si="16"/>
        <v>-13.299999999999997</v>
      </c>
      <c r="AJ33" s="21">
        <f t="shared" si="16"/>
        <v>3.6999999999999997</v>
      </c>
      <c r="AK33" s="21">
        <f t="shared" si="16"/>
        <v>-8.8529999999999998</v>
      </c>
    </row>
    <row r="34" spans="1:37" ht="8.25" customHeight="1" x14ac:dyDescent="0.35">
      <c r="A34" s="1">
        <v>10</v>
      </c>
      <c r="I34" s="22"/>
      <c r="J34" s="22"/>
      <c r="K34" s="22"/>
      <c r="L34" s="22"/>
      <c r="M34" s="22"/>
      <c r="N34" s="22"/>
      <c r="O34" s="22"/>
      <c r="P34" s="22"/>
    </row>
    <row r="35" spans="1:37" x14ac:dyDescent="0.35">
      <c r="A35" s="1">
        <v>11</v>
      </c>
      <c r="B35" s="5" t="s">
        <v>126</v>
      </c>
      <c r="C35" s="8">
        <f>+HLOOKUP($C$25,$H$25:$AR$37,A35,FALSE)</f>
        <v>0.5</v>
      </c>
      <c r="D35" s="8">
        <f>+HLOOKUP($D$25,$H$25:$AR$37,A35,FALSE)</f>
        <v>-0.1</v>
      </c>
      <c r="E35" s="37">
        <f>+D35/C35-1</f>
        <v>-1.2</v>
      </c>
      <c r="H35" s="5" t="s">
        <v>126</v>
      </c>
      <c r="I35" s="18"/>
      <c r="J35" s="18"/>
      <c r="K35" s="18"/>
      <c r="L35" s="18"/>
      <c r="M35" s="18"/>
      <c r="N35" s="18"/>
      <c r="O35" s="18"/>
      <c r="P35" s="18"/>
      <c r="Q35" s="18">
        <v>0</v>
      </c>
      <c r="R35" s="18">
        <v>0</v>
      </c>
      <c r="S35" s="18">
        <v>0</v>
      </c>
      <c r="T35" s="18">
        <v>0</v>
      </c>
      <c r="U35" s="18">
        <v>0.378</v>
      </c>
      <c r="V35" s="8">
        <v>1.6000000000000014E-2</v>
      </c>
      <c r="W35" s="8">
        <v>-1.2250000000000001</v>
      </c>
      <c r="X35" s="8">
        <v>-1.6440000000000001</v>
      </c>
      <c r="Y35" s="8">
        <v>-1.4</v>
      </c>
      <c r="Z35" s="8">
        <v>-0.7</v>
      </c>
      <c r="AA35" s="8">
        <v>-0.1</v>
      </c>
      <c r="AB35" s="8">
        <v>-0.47850000000000037</v>
      </c>
      <c r="AC35" s="8">
        <v>0.3</v>
      </c>
      <c r="AD35" s="8">
        <v>0.2</v>
      </c>
      <c r="AE35" s="8">
        <v>-0.3</v>
      </c>
      <c r="AF35" s="8">
        <v>0.5</v>
      </c>
      <c r="AG35" s="8">
        <v>-0.6</v>
      </c>
      <c r="AH35" s="8">
        <v>-0.2</v>
      </c>
      <c r="AI35" s="8">
        <v>-0.3</v>
      </c>
      <c r="AJ35" s="8">
        <v>-0.1</v>
      </c>
      <c r="AK35" s="8">
        <v>-0.34599999999999997</v>
      </c>
    </row>
    <row r="36" spans="1:37" ht="8.25" customHeight="1" x14ac:dyDescent="0.35">
      <c r="A36" s="1">
        <v>12</v>
      </c>
      <c r="I36" s="22"/>
      <c r="J36" s="22"/>
      <c r="K36" s="22"/>
      <c r="L36" s="22"/>
      <c r="M36" s="22"/>
      <c r="N36" s="22"/>
      <c r="O36" s="22"/>
      <c r="P36" s="22"/>
    </row>
    <row r="37" spans="1:37" x14ac:dyDescent="0.35">
      <c r="A37" s="1">
        <v>13</v>
      </c>
      <c r="B37" s="6" t="s">
        <v>127</v>
      </c>
      <c r="C37" s="9">
        <f>+HLOOKUP($C$25,$H$25:$AR$37,A37,FALSE)</f>
        <v>23.770700000000005</v>
      </c>
      <c r="D37" s="9">
        <f>+HLOOKUP($D$25,$H$25:$AR$37,A37,FALSE)</f>
        <v>30.970700000000008</v>
      </c>
      <c r="E37" s="38">
        <f>D37/C37-1</f>
        <v>0.30289389879136919</v>
      </c>
      <c r="H37" s="6" t="s">
        <v>127</v>
      </c>
      <c r="I37" s="19"/>
      <c r="J37" s="19"/>
      <c r="K37" s="19"/>
      <c r="L37" s="19"/>
      <c r="M37" s="19"/>
      <c r="N37" s="19"/>
      <c r="O37" s="19"/>
      <c r="P37" s="19"/>
      <c r="Q37" s="9">
        <f t="shared" ref="Q37:X37" si="17">Q35+Q33+Q28</f>
        <v>39.150300000000001</v>
      </c>
      <c r="R37" s="9">
        <f t="shared" si="17"/>
        <v>40.120200000000004</v>
      </c>
      <c r="S37" s="9">
        <f t="shared" si="17"/>
        <v>42.754200000000004</v>
      </c>
      <c r="T37" s="9">
        <f t="shared" si="17"/>
        <v>22.031700000000008</v>
      </c>
      <c r="U37" s="9">
        <f t="shared" si="17"/>
        <v>38.978700000000003</v>
      </c>
      <c r="V37" s="9">
        <f t="shared" si="17"/>
        <v>37.817700000000002</v>
      </c>
      <c r="W37" s="9">
        <f t="shared" si="17"/>
        <v>43.233699999999999</v>
      </c>
      <c r="X37" s="9">
        <f t="shared" si="17"/>
        <v>52.870699999999999</v>
      </c>
      <c r="Y37" s="9">
        <f>Y35+Y33+Y28</f>
        <v>40.570700000000002</v>
      </c>
      <c r="Z37" s="9">
        <f>Z35+Z33+Z28</f>
        <v>52.370699999999999</v>
      </c>
      <c r="AA37" s="9">
        <f>AA35+AA33+AA28</f>
        <v>46.370699999999999</v>
      </c>
      <c r="AB37" s="9">
        <f t="shared" ref="AB37:AH37" si="18">+AB28+AB33+AB35</f>
        <v>23.706199999999999</v>
      </c>
      <c r="AC37" s="9">
        <f t="shared" si="18"/>
        <v>12.970700000000004</v>
      </c>
      <c r="AD37" s="9">
        <f t="shared" si="18"/>
        <v>17.470700000000004</v>
      </c>
      <c r="AE37" s="9">
        <f t="shared" si="18"/>
        <v>13.370700000000005</v>
      </c>
      <c r="AF37" s="9">
        <f t="shared" si="18"/>
        <v>23.770700000000005</v>
      </c>
      <c r="AG37" s="9">
        <f t="shared" si="18"/>
        <v>28.670700000000004</v>
      </c>
      <c r="AH37" s="9">
        <f t="shared" si="18"/>
        <v>40.970700000000001</v>
      </c>
      <c r="AI37" s="9">
        <f>+AI28+AI33+AI35</f>
        <v>27.370700000000003</v>
      </c>
      <c r="AJ37" s="9">
        <f>+AJ28+AJ33+AJ35</f>
        <v>30.970700000000008</v>
      </c>
      <c r="AK37" s="9">
        <f t="shared" ref="AK37" si="19">+AK28+AK33+AK35</f>
        <v>21.771700000000006</v>
      </c>
    </row>
    <row r="40" spans="1:37" ht="93.75" customHeight="1" x14ac:dyDescent="0.35">
      <c r="B40" s="102" t="s">
        <v>134</v>
      </c>
      <c r="C40" s="105"/>
      <c r="D40" s="105"/>
      <c r="E40" s="105"/>
    </row>
  </sheetData>
  <mergeCells count="65">
    <mergeCell ref="AK6:AK7"/>
    <mergeCell ref="AK25:AK26"/>
    <mergeCell ref="B40:E40"/>
    <mergeCell ref="AG6:AG7"/>
    <mergeCell ref="AG25:AG26"/>
    <mergeCell ref="AB25:AB26"/>
    <mergeCell ref="Y6:Y7"/>
    <mergeCell ref="Y25:Y26"/>
    <mergeCell ref="AC6:AC7"/>
    <mergeCell ref="AC25:AC26"/>
    <mergeCell ref="AB6:AB7"/>
    <mergeCell ref="AF25:AF26"/>
    <mergeCell ref="AF6:AF7"/>
    <mergeCell ref="AE6:AE7"/>
    <mergeCell ref="AE25:AE26"/>
    <mergeCell ref="AD6:AD7"/>
    <mergeCell ref="I25:I26"/>
    <mergeCell ref="J25:J26"/>
    <mergeCell ref="AJ6:AJ7"/>
    <mergeCell ref="AJ25:AJ26"/>
    <mergeCell ref="I6:I7"/>
    <mergeCell ref="J6:J7"/>
    <mergeCell ref="K6:K7"/>
    <mergeCell ref="L6:L7"/>
    <mergeCell ref="M6:M7"/>
    <mergeCell ref="P25:P26"/>
    <mergeCell ref="Q25:Q26"/>
    <mergeCell ref="R25:R26"/>
    <mergeCell ref="K25:K26"/>
    <mergeCell ref="L25:L26"/>
    <mergeCell ref="M25:M26"/>
    <mergeCell ref="N25:N26"/>
    <mergeCell ref="O25:O26"/>
    <mergeCell ref="N6:N7"/>
    <mergeCell ref="Z6:Z7"/>
    <mergeCell ref="Z25:Z26"/>
    <mergeCell ref="C6:C7"/>
    <mergeCell ref="D6:D7"/>
    <mergeCell ref="E6:E7"/>
    <mergeCell ref="C25:C26"/>
    <mergeCell ref="D25:D26"/>
    <mergeCell ref="E25:E26"/>
    <mergeCell ref="X6:X7"/>
    <mergeCell ref="X25:X26"/>
    <mergeCell ref="W6:W7"/>
    <mergeCell ref="O6:O7"/>
    <mergeCell ref="P6:P7"/>
    <mergeCell ref="Q6:Q7"/>
    <mergeCell ref="S25:S26"/>
    <mergeCell ref="T25:T26"/>
    <mergeCell ref="U25:U26"/>
    <mergeCell ref="W25:W26"/>
    <mergeCell ref="V25:V26"/>
    <mergeCell ref="R6:R7"/>
    <mergeCell ref="S6:S7"/>
    <mergeCell ref="T6:T7"/>
    <mergeCell ref="U6:U7"/>
    <mergeCell ref="V6:V7"/>
    <mergeCell ref="AI6:AI7"/>
    <mergeCell ref="AI25:AI26"/>
    <mergeCell ref="AH6:AH7"/>
    <mergeCell ref="AH25:AH26"/>
    <mergeCell ref="AA6:AA7"/>
    <mergeCell ref="AA25:AA26"/>
    <mergeCell ref="AD25:AD26"/>
  </mergeCells>
  <phoneticPr fontId="14" type="noConversion"/>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82AEAA8A3D209B41BC4DB5A9CB5E50DE" ma:contentTypeVersion="4" ma:contentTypeDescription="Crear nuevo documento." ma:contentTypeScope="" ma:versionID="f874fbb67095a3ed2313ad3bb65189f4">
  <xsd:schema xmlns:xsd="http://www.w3.org/2001/XMLSchema" xmlns:xs="http://www.w3.org/2001/XMLSchema" xmlns:p="http://schemas.microsoft.com/office/2006/metadata/properties" xmlns:ns2="af28b929-2fa0-4937-be7e-13907b45f7fc" targetNamespace="http://schemas.microsoft.com/office/2006/metadata/properties" ma:root="true" ma:fieldsID="124c982814c50fbfe9317d7cc0eedf63" ns2:_="">
    <xsd:import namespace="af28b929-2fa0-4937-be7e-13907b45f7f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f28b929-2fa0-4937-be7e-13907b45f7f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7A24069-4881-426E-A50B-2B90C6FAFD2F}">
  <ds:schemaRefs>
    <ds:schemaRef ds:uri="http://schemas.microsoft.com/office/2006/documentManagement/types"/>
    <ds:schemaRef ds:uri="http://www.w3.org/XML/1998/namespace"/>
    <ds:schemaRef ds:uri="http://purl.org/dc/elements/1.1/"/>
    <ds:schemaRef ds:uri="http://purl.org/dc/terms/"/>
    <ds:schemaRef ds:uri="http://schemas.microsoft.com/office/infopath/2007/PartnerControls"/>
    <ds:schemaRef ds:uri="http://purl.org/dc/dcmitype/"/>
    <ds:schemaRef ds:uri="http://schemas.openxmlformats.org/package/2006/metadata/core-properties"/>
    <ds:schemaRef ds:uri="af28b929-2fa0-4937-be7e-13907b45f7fc"/>
    <ds:schemaRef ds:uri="http://schemas.microsoft.com/office/2006/metadata/properties"/>
  </ds:schemaRefs>
</ds:datastoreItem>
</file>

<file path=customXml/itemProps2.xml><?xml version="1.0" encoding="utf-8"?>
<ds:datastoreItem xmlns:ds="http://schemas.openxmlformats.org/officeDocument/2006/customXml" ds:itemID="{5C85A5DC-A12C-412A-8511-AE8B5131617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f28b929-2fa0-4937-be7e-13907b45f7f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45F6794-A2FB-4EC1-92F9-2F6866DB1C9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Physical Sales &amp; Gx.</vt:lpstr>
      <vt:lpstr>Income Statement</vt:lpstr>
      <vt:lpstr>Operating Income</vt:lpstr>
      <vt:lpstr>Non-Operating Income</vt:lpstr>
      <vt:lpstr>Balance Sheet</vt:lpstr>
      <vt:lpstr>Main Debt Items</vt:lpstr>
      <vt:lpstr>Amortization Profile</vt:lpstr>
      <vt:lpstr>Cash Flow</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Isidora Zaldivar Safian</dc:creator>
  <cp:keywords/>
  <dc:description/>
  <cp:lastModifiedBy>Isidora Zaldivar Safian</cp:lastModifiedBy>
  <cp:revision/>
  <dcterms:created xsi:type="dcterms:W3CDTF">2017-12-05T18:05:13Z</dcterms:created>
  <dcterms:modified xsi:type="dcterms:W3CDTF">2021-05-26T19:54:37Z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0x01010082AEAA8A3D209B41BC4DB5A9CB5E50DE</vt:lpwstr>
  </property>
</Properties>
</file>