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tiff" ContentType="image/tif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330"/>
  <workbookPr/>
  <mc:AlternateContent xmlns:mc="http://schemas.openxmlformats.org/markup-compatibility/2006">
    <mc:Choice Requires="x15">
      <x15ac:absPath xmlns:x15ac="http://schemas.microsoft.com/office/spreadsheetml/2010/11/ac" url="https://colbun.sharepoint.com/sites/AnlisisRazonado/Documentos compartidos/General/2Q22/"/>
    </mc:Choice>
  </mc:AlternateContent>
  <xr:revisionPtr revIDLastSave="1184" documentId="13_ncr:1_{9C6E5492-DD85-4BD0-BF8C-0E972B5DF84B}" xr6:coauthVersionLast="47" xr6:coauthVersionMax="47" xr10:uidLastSave="{A6571582-D66C-449E-B85E-C046CA188A4B}"/>
  <bookViews>
    <workbookView xWindow="-120" yWindow="-120" windowWidth="20730" windowHeight="11160" activeTab="3" xr2:uid="{00000000-000D-0000-FFFF-FFFF00000000}"/>
  </bookViews>
  <sheets>
    <sheet name="Physical Sales &amp; Gx." sheetId="6" r:id="rId1"/>
    <sheet name="Income Statement" sheetId="1" r:id="rId2"/>
    <sheet name="Operating Income" sheetId="2" r:id="rId3"/>
    <sheet name="Non-Operating Income" sheetId="3" r:id="rId4"/>
    <sheet name="Balance Sheet" sheetId="4" r:id="rId5"/>
    <sheet name="Main Debt Items" sheetId="7" r:id="rId6"/>
    <sheet name="Amortization Profile" sheetId="8" r:id="rId7"/>
    <sheet name="Cash Flow" sheetId="5" r:id="rId8"/>
  </sheets>
  <externalReferences>
    <externalReference r:id="rId9"/>
    <externalReference r:id="rId10"/>
    <externalReference r:id="rId11"/>
  </externalReferenc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AL15" i="2" l="1"/>
  <c r="AM10" i="2"/>
  <c r="AO10" i="2"/>
  <c r="AP10" i="2"/>
  <c r="AL10" i="2"/>
  <c r="C37" i="4" l="1"/>
  <c r="C35" i="4"/>
  <c r="C34" i="4"/>
  <c r="C33" i="4"/>
  <c r="C32" i="4"/>
  <c r="C31" i="4"/>
  <c r="C30" i="4"/>
  <c r="C29" i="4"/>
  <c r="C28" i="4"/>
  <c r="AP46" i="3"/>
  <c r="E42" i="6"/>
  <c r="AP38" i="3"/>
  <c r="AP33" i="5" l="1"/>
  <c r="AP37" i="5" s="1"/>
  <c r="AP14" i="5"/>
  <c r="AP18" i="5" s="1"/>
  <c r="AO26" i="7"/>
  <c r="AO27" i="7" s="1"/>
  <c r="AO25" i="7"/>
  <c r="AO11" i="7"/>
  <c r="AO13" i="7" s="1"/>
  <c r="AD37" i="4"/>
  <c r="AD31" i="4"/>
  <c r="AD12" i="4"/>
  <c r="AD18" i="4"/>
  <c r="AP15" i="3"/>
  <c r="AP45" i="2"/>
  <c r="AP52" i="2"/>
  <c r="AM25" i="2"/>
  <c r="AP31" i="2"/>
  <c r="AP17" i="2"/>
  <c r="AD37" i="1"/>
  <c r="AD21" i="1"/>
  <c r="AP59" i="2" l="1"/>
  <c r="AP65" i="2" s="1"/>
  <c r="AP67" i="2" s="1"/>
  <c r="AD9" i="1" l="1"/>
  <c r="AP51" i="6" l="1"/>
  <c r="AP46" i="6"/>
  <c r="AP29" i="6"/>
  <c r="AP20" i="6"/>
  <c r="AP24" i="6"/>
  <c r="AD29" i="1" l="1"/>
  <c r="AD27" i="1"/>
  <c r="AD39" i="1" s="1"/>
  <c r="AD43" i="1" s="1"/>
  <c r="C18" i="5" l="1"/>
  <c r="C16" i="5"/>
  <c r="C14" i="5"/>
  <c r="C13" i="5"/>
  <c r="C12" i="5"/>
  <c r="C11" i="5"/>
  <c r="AO37" i="5"/>
  <c r="AO33" i="5"/>
  <c r="AO18" i="5"/>
  <c r="AO14" i="5"/>
  <c r="AN14" i="5"/>
  <c r="AN26" i="7" l="1"/>
  <c r="AN12" i="7"/>
  <c r="AN24" i="7"/>
  <c r="AN10" i="7"/>
  <c r="AN23" i="7"/>
  <c r="AN25" i="7" s="1"/>
  <c r="AN9" i="7"/>
  <c r="AC37" i="4"/>
  <c r="AC31" i="4"/>
  <c r="AC18" i="4"/>
  <c r="AC12" i="4"/>
  <c r="AO47" i="3"/>
  <c r="AO21" i="3"/>
  <c r="AO19" i="3"/>
  <c r="AO15" i="3"/>
  <c r="AO13" i="3"/>
  <c r="AO11" i="3"/>
  <c r="AO10" i="3"/>
  <c r="AO9" i="3"/>
  <c r="AO38" i="3"/>
  <c r="AN11" i="7" l="1"/>
  <c r="AN13" i="7" s="1"/>
  <c r="AN27" i="7"/>
  <c r="AO67" i="2"/>
  <c r="AO65" i="2"/>
  <c r="AO59" i="2"/>
  <c r="AO52" i="2"/>
  <c r="AO45" i="2"/>
  <c r="AO31" i="2"/>
  <c r="AO17" i="2"/>
  <c r="AC43" i="1"/>
  <c r="AC39" i="1"/>
  <c r="AC37" i="1"/>
  <c r="AC29" i="1"/>
  <c r="AC27" i="1"/>
  <c r="AC21" i="1"/>
  <c r="Y21" i="1"/>
  <c r="AC13" i="1"/>
  <c r="AC9" i="1"/>
  <c r="AO51" i="6"/>
  <c r="AO46" i="6"/>
  <c r="AO39" i="6"/>
  <c r="AO17" i="6"/>
  <c r="AO29" i="6"/>
  <c r="AO24" i="6"/>
  <c r="AO20" i="6"/>
  <c r="AO9" i="6"/>
  <c r="AM12" i="7" l="1"/>
  <c r="AM10" i="7"/>
  <c r="AM9" i="7"/>
  <c r="AM25" i="7"/>
  <c r="AM27" i="7" s="1"/>
  <c r="AB16" i="4"/>
  <c r="AB15" i="4"/>
  <c r="AB14" i="4"/>
  <c r="AB18" i="4" s="1"/>
  <c r="AB10" i="4"/>
  <c r="AB9" i="4"/>
  <c r="AB12" i="4" s="1"/>
  <c r="AB31" i="4"/>
  <c r="AB37" i="4"/>
  <c r="AN47" i="3"/>
  <c r="AN21" i="3"/>
  <c r="AN23" i="3" s="1"/>
  <c r="AN19" i="3"/>
  <c r="AN17" i="3"/>
  <c r="AM17" i="3"/>
  <c r="AN38" i="3"/>
  <c r="AN13" i="3"/>
  <c r="AN11" i="3"/>
  <c r="AN10" i="3"/>
  <c r="AN9" i="3"/>
  <c r="AM11" i="7" l="1"/>
  <c r="AM13" i="7" s="1"/>
  <c r="AN15" i="3"/>
  <c r="D29" i="2" l="1"/>
  <c r="D28" i="2"/>
  <c r="D27" i="2"/>
  <c r="D23" i="2"/>
  <c r="D22" i="2"/>
  <c r="D21" i="2"/>
  <c r="C21" i="2"/>
  <c r="D20" i="2"/>
  <c r="D19" i="2"/>
  <c r="D18" i="2"/>
  <c r="C14" i="2"/>
  <c r="D14" i="2"/>
  <c r="D15" i="2"/>
  <c r="D13" i="2"/>
  <c r="D12" i="2"/>
  <c r="D11" i="2"/>
  <c r="C46" i="2"/>
  <c r="AN52" i="2"/>
  <c r="AN45" i="2"/>
  <c r="AN31" i="2"/>
  <c r="AN17" i="2"/>
  <c r="AB37" i="1"/>
  <c r="AB13" i="1"/>
  <c r="AB9" i="1"/>
  <c r="AN51" i="6"/>
  <c r="AN46" i="6"/>
  <c r="AN39" i="6"/>
  <c r="AN29" i="6"/>
  <c r="AM29" i="6"/>
  <c r="AN20" i="6"/>
  <c r="AM20" i="6"/>
  <c r="AN24" i="6"/>
  <c r="AN9" i="6"/>
  <c r="AN17" i="6" l="1"/>
  <c r="AN59" i="2"/>
  <c r="AN65" i="2" s="1"/>
  <c r="AN67" i="2" s="1"/>
  <c r="AB21" i="1"/>
  <c r="AB27" i="1" s="1"/>
  <c r="AB39" i="1" s="1"/>
  <c r="AB43" i="1" s="1"/>
  <c r="AM13" i="3"/>
  <c r="AM29" i="2"/>
  <c r="AM35" i="5"/>
  <c r="AM31" i="5"/>
  <c r="AM32" i="5"/>
  <c r="AM30" i="5"/>
  <c r="AM11" i="5" l="1"/>
  <c r="AN30" i="5"/>
  <c r="AM12" i="5"/>
  <c r="AN31" i="5"/>
  <c r="AN12" i="5" s="1"/>
  <c r="AM13" i="5"/>
  <c r="AN32" i="5"/>
  <c r="AN13" i="5" s="1"/>
  <c r="AM16" i="5"/>
  <c r="AN35" i="5"/>
  <c r="AN16" i="5" s="1"/>
  <c r="AM33" i="5"/>
  <c r="AM14" i="5"/>
  <c r="AL12" i="7"/>
  <c r="AL10" i="7"/>
  <c r="AL9" i="7"/>
  <c r="AL25" i="7"/>
  <c r="AL27" i="7" s="1"/>
  <c r="AA16" i="4"/>
  <c r="AA15" i="4"/>
  <c r="AA14" i="4"/>
  <c r="AA10" i="4"/>
  <c r="AA9" i="4"/>
  <c r="AA37" i="4"/>
  <c r="AA31" i="4"/>
  <c r="AM19" i="3"/>
  <c r="AM11" i="3"/>
  <c r="AM10" i="3"/>
  <c r="AM9" i="3"/>
  <c r="AM44" i="3"/>
  <c r="AM21" i="3" s="1"/>
  <c r="AM38" i="3"/>
  <c r="AN11" i="5" l="1"/>
  <c r="AN33" i="5"/>
  <c r="AM15" i="3"/>
  <c r="AL11" i="7"/>
  <c r="AA18" i="4"/>
  <c r="AA12" i="4"/>
  <c r="AK9" i="3" l="1"/>
  <c r="AK10" i="3"/>
  <c r="AK11" i="3"/>
  <c r="AK13" i="3"/>
  <c r="AL9" i="3"/>
  <c r="AL10" i="3"/>
  <c r="AL11" i="3"/>
  <c r="AL13" i="3"/>
  <c r="AI28" i="2"/>
  <c r="AI18" i="2"/>
  <c r="AI23" i="2"/>
  <c r="AM28" i="2"/>
  <c r="AM27" i="2"/>
  <c r="AM17" i="2"/>
  <c r="AM52" i="2"/>
  <c r="AM45" i="2"/>
  <c r="AA37" i="1"/>
  <c r="AA13" i="1"/>
  <c r="AA9" i="1"/>
  <c r="AA21" i="1" s="1"/>
  <c r="AA27" i="1" s="1"/>
  <c r="AM51" i="6"/>
  <c r="AM46" i="6"/>
  <c r="AM39" i="6"/>
  <c r="AM24" i="6"/>
  <c r="AM17" i="6" s="1"/>
  <c r="AM9" i="6"/>
  <c r="AK10" i="7"/>
  <c r="AM59" i="2" l="1"/>
  <c r="AM65" i="2" s="1"/>
  <c r="AM67" i="2" s="1"/>
  <c r="AM33" i="2" s="1"/>
  <c r="AA39" i="1"/>
  <c r="AA43" i="1" s="1"/>
  <c r="AM31" i="2"/>
  <c r="AL16" i="5" l="1"/>
  <c r="AL13" i="5"/>
  <c r="AL12" i="5"/>
  <c r="AL11" i="5"/>
  <c r="AL14" i="5" s="1"/>
  <c r="AL33" i="5"/>
  <c r="AK9" i="7"/>
  <c r="Z37" i="4"/>
  <c r="Z16" i="4"/>
  <c r="Z9" i="4"/>
  <c r="AL19" i="3"/>
  <c r="AL17" i="3"/>
  <c r="AL29" i="2"/>
  <c r="AL28" i="2"/>
  <c r="AL27" i="2"/>
  <c r="Z29" i="1" l="1"/>
  <c r="AK25" i="7"/>
  <c r="AK11" i="7" s="1"/>
  <c r="D35" i="4"/>
  <c r="D34" i="4"/>
  <c r="D33" i="4"/>
  <c r="D29" i="4"/>
  <c r="D28" i="4"/>
  <c r="Z15" i="4"/>
  <c r="Z14" i="4"/>
  <c r="Z18" i="4" s="1"/>
  <c r="Z10" i="4"/>
  <c r="Z12" i="4" s="1"/>
  <c r="D37" i="4"/>
  <c r="Z31" i="4"/>
  <c r="D31" i="4" s="1"/>
  <c r="AL15" i="3"/>
  <c r="AL44" i="3"/>
  <c r="AL38" i="3"/>
  <c r="AH33" i="2"/>
  <c r="AG29" i="2"/>
  <c r="AG28" i="2"/>
  <c r="AG27" i="2"/>
  <c r="AH29" i="2"/>
  <c r="AH28" i="2"/>
  <c r="AH27" i="2"/>
  <c r="AG23" i="2"/>
  <c r="AG20" i="2"/>
  <c r="AG19" i="2"/>
  <c r="AG18" i="2"/>
  <c r="AH23" i="2"/>
  <c r="AH21" i="2"/>
  <c r="AH20" i="2"/>
  <c r="AH19" i="2"/>
  <c r="AH18" i="2"/>
  <c r="AK29" i="2"/>
  <c r="AK28" i="2"/>
  <c r="AK27" i="2"/>
  <c r="AK23" i="2"/>
  <c r="AK21" i="2"/>
  <c r="AK20" i="2"/>
  <c r="AK19" i="2"/>
  <c r="AK18" i="2"/>
  <c r="AL52" i="2"/>
  <c r="AL45" i="2"/>
  <c r="Z37" i="1"/>
  <c r="Z13" i="1"/>
  <c r="Z9" i="1"/>
  <c r="AL51" i="6"/>
  <c r="AL46" i="6"/>
  <c r="AL39" i="6"/>
  <c r="AL29" i="6"/>
  <c r="AL24" i="6"/>
  <c r="AL20" i="6"/>
  <c r="AL9" i="6"/>
  <c r="AL17" i="6" l="1"/>
  <c r="Z21" i="1"/>
  <c r="Z27" i="1" s="1"/>
  <c r="AL46" i="3"/>
  <c r="AL21" i="3"/>
  <c r="AL47" i="3"/>
  <c r="AL59" i="2"/>
  <c r="AL65" i="2" s="1"/>
  <c r="AL67" i="2" s="1"/>
  <c r="AL17" i="2"/>
  <c r="Z39" i="1"/>
  <c r="Z43" i="1" s="1"/>
  <c r="AJ10" i="7"/>
  <c r="AJ9" i="7"/>
  <c r="AJ11" i="7" s="1"/>
  <c r="AL25" i="2" l="1"/>
  <c r="AL31" i="2" s="1"/>
  <c r="AK16" i="5"/>
  <c r="AK13" i="5"/>
  <c r="AK12" i="5"/>
  <c r="AK11" i="5"/>
  <c r="AK33" i="5"/>
  <c r="AK37" i="5" s="1"/>
  <c r="AL28" i="5" s="1"/>
  <c r="AJ9" i="5"/>
  <c r="AL37" i="5" l="1"/>
  <c r="AM28" i="5" s="1"/>
  <c r="AM37" i="5" s="1"/>
  <c r="AN28" i="5" s="1"/>
  <c r="AN37" i="5" s="1"/>
  <c r="AL9" i="5"/>
  <c r="AL18" i="5" s="1"/>
  <c r="AM9" i="5" s="1"/>
  <c r="AM18" i="5" s="1"/>
  <c r="AN9" i="5" s="1"/>
  <c r="AN18" i="5" s="1"/>
  <c r="AK14" i="5"/>
  <c r="AJ25" i="7" l="1"/>
  <c r="AJ27" i="7" s="1"/>
  <c r="Y16" i="4"/>
  <c r="Y15" i="4"/>
  <c r="Y14" i="4"/>
  <c r="Y10" i="4"/>
  <c r="Y9" i="4"/>
  <c r="Y37" i="4"/>
  <c r="Y31" i="4"/>
  <c r="AK19" i="3"/>
  <c r="AG15" i="3"/>
  <c r="AK17" i="3"/>
  <c r="AK15" i="3"/>
  <c r="AK44" i="3"/>
  <c r="AK47" i="3" s="1"/>
  <c r="AK38" i="3"/>
  <c r="AG17" i="3"/>
  <c r="AK15" i="2"/>
  <c r="AK14" i="2"/>
  <c r="AK13" i="2"/>
  <c r="AK12" i="2"/>
  <c r="AK11" i="2"/>
  <c r="AK52" i="2"/>
  <c r="AK45" i="2"/>
  <c r="Y37" i="1"/>
  <c r="Y13" i="1"/>
  <c r="Y9" i="1"/>
  <c r="AK51" i="6"/>
  <c r="AH46" i="6"/>
  <c r="AI46" i="6"/>
  <c r="AJ46" i="6"/>
  <c r="AK46" i="6"/>
  <c r="AH39" i="6"/>
  <c r="AI39" i="6"/>
  <c r="AJ39" i="6"/>
  <c r="AK39" i="6"/>
  <c r="AK10" i="2" l="1"/>
  <c r="AK21" i="3"/>
  <c r="AK59" i="2"/>
  <c r="AK65" i="2" s="1"/>
  <c r="AK67" i="2" s="1"/>
  <c r="AK33" i="2" s="1"/>
  <c r="Y18" i="4"/>
  <c r="Y12" i="4"/>
  <c r="Y29" i="1" l="1"/>
  <c r="Y27" i="1"/>
  <c r="Y39" i="1" s="1"/>
  <c r="Y43" i="1" s="1"/>
  <c r="AK24" i="6"/>
  <c r="AK29" i="6"/>
  <c r="AH24" i="6"/>
  <c r="AI24" i="6"/>
  <c r="AJ24" i="6"/>
  <c r="AH20" i="6"/>
  <c r="AH17" i="6" s="1"/>
  <c r="AI20" i="6"/>
  <c r="AJ20" i="6"/>
  <c r="AK20" i="6"/>
  <c r="AK17" i="6" s="1"/>
  <c r="AH9" i="6"/>
  <c r="AI9" i="6"/>
  <c r="AJ9" i="6"/>
  <c r="AK9" i="6"/>
  <c r="D10" i="2"/>
  <c r="AI21" i="3"/>
  <c r="AI23" i="3"/>
  <c r="AI47" i="3"/>
  <c r="S47" i="3"/>
  <c r="T47" i="3"/>
  <c r="R47" i="3"/>
  <c r="Q47" i="3"/>
  <c r="AJ37" i="5"/>
  <c r="D37" i="5" s="1"/>
  <c r="AJ16" i="5"/>
  <c r="AJ13" i="5"/>
  <c r="D13" i="5" s="1"/>
  <c r="AJ12" i="5"/>
  <c r="AJ11" i="5"/>
  <c r="AJ33" i="5"/>
  <c r="AI12" i="7"/>
  <c r="AI24" i="7"/>
  <c r="AI10" i="7" s="1"/>
  <c r="C10" i="7" s="1"/>
  <c r="AI23" i="7"/>
  <c r="X16" i="4"/>
  <c r="X15" i="4"/>
  <c r="C15" i="4" s="1"/>
  <c r="X14" i="4"/>
  <c r="C14" i="4" s="1"/>
  <c r="X10" i="4"/>
  <c r="C10" i="4" s="1"/>
  <c r="X9" i="4"/>
  <c r="X37" i="4"/>
  <c r="X31" i="4"/>
  <c r="AJ19" i="3"/>
  <c r="AJ17" i="3"/>
  <c r="AJ21" i="3" s="1"/>
  <c r="D21" i="3" s="1"/>
  <c r="AJ13" i="3"/>
  <c r="AJ11" i="3"/>
  <c r="AJ10" i="3"/>
  <c r="AJ9" i="3"/>
  <c r="AJ44" i="3"/>
  <c r="AJ47" i="3" s="1"/>
  <c r="C47" i="3" s="1"/>
  <c r="AJ38" i="3"/>
  <c r="AJ29" i="2"/>
  <c r="C29" i="2" s="1"/>
  <c r="E29" i="2" s="1"/>
  <c r="AJ28" i="2"/>
  <c r="C28" i="2" s="1"/>
  <c r="E28" i="2" s="1"/>
  <c r="AJ27" i="2"/>
  <c r="C27" i="2" s="1"/>
  <c r="E27" i="2" s="1"/>
  <c r="AJ22" i="2"/>
  <c r="C22" i="2" s="1"/>
  <c r="AJ23" i="2"/>
  <c r="C23" i="2" s="1"/>
  <c r="E23" i="2" s="1"/>
  <c r="AJ20" i="2"/>
  <c r="C20" i="2" s="1"/>
  <c r="E20" i="2" s="1"/>
  <c r="AJ19" i="2"/>
  <c r="C19" i="2" s="1"/>
  <c r="E19" i="2" s="1"/>
  <c r="AJ18" i="2"/>
  <c r="C18" i="2" s="1"/>
  <c r="E18" i="2" s="1"/>
  <c r="AJ15" i="2"/>
  <c r="C15" i="2" s="1"/>
  <c r="E15" i="2" s="1"/>
  <c r="AJ13" i="2"/>
  <c r="C13" i="2" s="1"/>
  <c r="E13" i="2" s="1"/>
  <c r="AJ12" i="2"/>
  <c r="C12" i="2" s="1"/>
  <c r="E12" i="2" s="1"/>
  <c r="AJ11" i="2"/>
  <c r="C11" i="2" s="1"/>
  <c r="AJ52" i="2"/>
  <c r="AJ45" i="2"/>
  <c r="U37" i="1"/>
  <c r="V37" i="1"/>
  <c r="W37" i="1"/>
  <c r="X37" i="1"/>
  <c r="U13" i="1"/>
  <c r="V13" i="1"/>
  <c r="W13" i="1"/>
  <c r="X13" i="1"/>
  <c r="X9" i="1"/>
  <c r="C9" i="1" s="1"/>
  <c r="AJ51" i="6"/>
  <c r="AJ29" i="6"/>
  <c r="AB52" i="2"/>
  <c r="AB21" i="2"/>
  <c r="AB23" i="2"/>
  <c r="AB20" i="2"/>
  <c r="AB19" i="2"/>
  <c r="AB18" i="2"/>
  <c r="AB15" i="2"/>
  <c r="AB13" i="2"/>
  <c r="AB12" i="2"/>
  <c r="AB11" i="2"/>
  <c r="AD20" i="2"/>
  <c r="AD19" i="2"/>
  <c r="AD23" i="2"/>
  <c r="AD18" i="2"/>
  <c r="AE9" i="5"/>
  <c r="J9" i="5"/>
  <c r="K9" i="5"/>
  <c r="L9" i="5"/>
  <c r="M9" i="5"/>
  <c r="N9" i="5"/>
  <c r="O9" i="5"/>
  <c r="P9" i="5"/>
  <c r="Q9" i="5"/>
  <c r="R9" i="5"/>
  <c r="S9" i="5"/>
  <c r="T9" i="5"/>
  <c r="U9" i="5"/>
  <c r="AE9" i="3"/>
  <c r="AI11" i="2"/>
  <c r="AI16" i="5"/>
  <c r="AI13" i="5"/>
  <c r="AI12" i="5"/>
  <c r="AI11" i="5"/>
  <c r="AI33" i="5"/>
  <c r="C33" i="5" s="1"/>
  <c r="AH10" i="7"/>
  <c r="AH9" i="7"/>
  <c r="W37" i="4"/>
  <c r="W16" i="4"/>
  <c r="W15" i="4"/>
  <c r="W14" i="4"/>
  <c r="W10" i="4"/>
  <c r="W9" i="4"/>
  <c r="W31" i="4"/>
  <c r="AI17" i="3"/>
  <c r="AI10" i="3"/>
  <c r="AI13" i="3"/>
  <c r="C13" i="3" s="1"/>
  <c r="AI11" i="3"/>
  <c r="AI9" i="3"/>
  <c r="AI38" i="3"/>
  <c r="AH17" i="3"/>
  <c r="AH21" i="3" s="1"/>
  <c r="C21" i="3" s="1"/>
  <c r="AI33" i="2"/>
  <c r="AI29" i="2"/>
  <c r="AI27" i="2"/>
  <c r="AI20" i="2"/>
  <c r="AI19" i="2"/>
  <c r="AI15" i="2"/>
  <c r="AI13" i="2"/>
  <c r="AI12" i="2"/>
  <c r="AI52" i="2"/>
  <c r="AI45" i="2"/>
  <c r="W9" i="1"/>
  <c r="AI51" i="6"/>
  <c r="AI29" i="6"/>
  <c r="AH12" i="5"/>
  <c r="AH11" i="5"/>
  <c r="AH16" i="5"/>
  <c r="AH13" i="5"/>
  <c r="AH33" i="5"/>
  <c r="AG10" i="7"/>
  <c r="AG9" i="7"/>
  <c r="AG11" i="7" s="1"/>
  <c r="AG25" i="7"/>
  <c r="V16" i="4"/>
  <c r="V15" i="4"/>
  <c r="V14" i="4"/>
  <c r="V10" i="4"/>
  <c r="V9" i="4"/>
  <c r="V37" i="4"/>
  <c r="V31" i="4"/>
  <c r="AH46" i="3"/>
  <c r="AH13" i="3"/>
  <c r="AH11" i="3"/>
  <c r="AH10" i="3"/>
  <c r="AH9" i="3"/>
  <c r="AH38" i="3"/>
  <c r="AH15" i="2"/>
  <c r="AH13" i="2"/>
  <c r="AH12" i="2"/>
  <c r="AH11" i="2"/>
  <c r="AH52" i="2"/>
  <c r="AH45" i="2"/>
  <c r="V9" i="1"/>
  <c r="AH51" i="6"/>
  <c r="AH29" i="6"/>
  <c r="U46" i="3"/>
  <c r="U21" i="3"/>
  <c r="V46" i="3"/>
  <c r="W46" i="3"/>
  <c r="X46" i="3"/>
  <c r="Y46" i="3"/>
  <c r="Z46" i="3"/>
  <c r="AA46" i="3"/>
  <c r="V21" i="3"/>
  <c r="W21" i="3"/>
  <c r="X21" i="3"/>
  <c r="Y21" i="3"/>
  <c r="Z21" i="3"/>
  <c r="AA21" i="3"/>
  <c r="AD21" i="3"/>
  <c r="AF21" i="3"/>
  <c r="AF23" i="2"/>
  <c r="AF21" i="2"/>
  <c r="AF20" i="2"/>
  <c r="AF19" i="2"/>
  <c r="AF18" i="2"/>
  <c r="AF15" i="2"/>
  <c r="AF14" i="2"/>
  <c r="AF13" i="2"/>
  <c r="AF12" i="2"/>
  <c r="AF11" i="2"/>
  <c r="R46" i="3"/>
  <c r="S46" i="3"/>
  <c r="T46" i="3"/>
  <c r="Q46" i="3"/>
  <c r="AG12" i="2"/>
  <c r="AG11" i="2"/>
  <c r="AG13" i="2"/>
  <c r="C46" i="1"/>
  <c r="AG39" i="6"/>
  <c r="D39" i="6"/>
  <c r="AG16" i="5"/>
  <c r="AG13" i="5"/>
  <c r="AG12" i="5"/>
  <c r="AG11" i="5"/>
  <c r="AG33" i="5"/>
  <c r="AF10" i="7"/>
  <c r="AF9" i="7"/>
  <c r="AF25" i="7"/>
  <c r="AF27" i="7" s="1"/>
  <c r="U16" i="4"/>
  <c r="U15" i="4"/>
  <c r="U14" i="4"/>
  <c r="U10" i="4"/>
  <c r="U9" i="4"/>
  <c r="U37" i="4"/>
  <c r="U31" i="4"/>
  <c r="AG21" i="3"/>
  <c r="AC17" i="3"/>
  <c r="AC21" i="3" s="1"/>
  <c r="AC13" i="3"/>
  <c r="AC11" i="3"/>
  <c r="AC10" i="3"/>
  <c r="AC9" i="3"/>
  <c r="AD44" i="3"/>
  <c r="AD46" i="3" s="1"/>
  <c r="AE44" i="3"/>
  <c r="AE46" i="3" s="1"/>
  <c r="AF44" i="3"/>
  <c r="AF46" i="3" s="1"/>
  <c r="AG44" i="3"/>
  <c r="AG46" i="3" s="1"/>
  <c r="AD38" i="3"/>
  <c r="AE38" i="3"/>
  <c r="AF38" i="3"/>
  <c r="AG38" i="3"/>
  <c r="AD15" i="3"/>
  <c r="AC29" i="2"/>
  <c r="AC28" i="2"/>
  <c r="AC27" i="2"/>
  <c r="AC23" i="2"/>
  <c r="AC21" i="2"/>
  <c r="AC20" i="2"/>
  <c r="AC19" i="2"/>
  <c r="AC18" i="2"/>
  <c r="AE17" i="2"/>
  <c r="AG15" i="2"/>
  <c r="AG14" i="2"/>
  <c r="AC15" i="2"/>
  <c r="AC13" i="2"/>
  <c r="AC14" i="2"/>
  <c r="AC12" i="2"/>
  <c r="AC11" i="2"/>
  <c r="AD10" i="2"/>
  <c r="AE10" i="2"/>
  <c r="AG52" i="2"/>
  <c r="AG45" i="2"/>
  <c r="C45" i="2" s="1"/>
  <c r="R37" i="1"/>
  <c r="S37" i="1"/>
  <c r="T37" i="1"/>
  <c r="R13" i="1"/>
  <c r="S13" i="1"/>
  <c r="T13" i="1"/>
  <c r="R9" i="1"/>
  <c r="R21" i="1" s="1"/>
  <c r="R27" i="1" s="1"/>
  <c r="S9" i="1"/>
  <c r="T9" i="1"/>
  <c r="U9" i="1"/>
  <c r="AD51" i="6"/>
  <c r="AE51" i="6"/>
  <c r="AF51" i="6"/>
  <c r="AG51" i="6"/>
  <c r="AD46" i="6"/>
  <c r="AE46" i="6"/>
  <c r="AF46" i="6"/>
  <c r="AG46" i="6"/>
  <c r="AG29" i="6"/>
  <c r="AG24" i="6"/>
  <c r="AG20" i="6"/>
  <c r="AG9" i="6"/>
  <c r="P9" i="1"/>
  <c r="AE25" i="7"/>
  <c r="AE11" i="7"/>
  <c r="U25" i="7"/>
  <c r="AD25" i="7"/>
  <c r="D31" i="5"/>
  <c r="AF33" i="5"/>
  <c r="AF37" i="5" s="1"/>
  <c r="D9" i="4"/>
  <c r="T37" i="4"/>
  <c r="T31" i="4"/>
  <c r="D9" i="3"/>
  <c r="AF52" i="2"/>
  <c r="T12" i="4"/>
  <c r="AF15" i="3"/>
  <c r="AF14" i="5"/>
  <c r="AF18" i="5" s="1"/>
  <c r="T18" i="4"/>
  <c r="AF45" i="2"/>
  <c r="D47" i="2"/>
  <c r="D46" i="2"/>
  <c r="AF39" i="6"/>
  <c r="AF20" i="6"/>
  <c r="AF29" i="6"/>
  <c r="AF24" i="6"/>
  <c r="AF9" i="6"/>
  <c r="U29" i="6"/>
  <c r="AE17" i="3"/>
  <c r="AE21" i="3" s="1"/>
  <c r="C47" i="2"/>
  <c r="C48" i="2"/>
  <c r="C49" i="2"/>
  <c r="O10" i="1"/>
  <c r="AE16" i="5"/>
  <c r="AE13" i="5"/>
  <c r="AE33" i="5"/>
  <c r="AE37" i="5" s="1"/>
  <c r="AE12" i="5"/>
  <c r="AE11" i="5"/>
  <c r="AD10" i="7"/>
  <c r="AD9" i="7"/>
  <c r="S16" i="4"/>
  <c r="S15" i="4"/>
  <c r="S14" i="4"/>
  <c r="S10" i="4"/>
  <c r="S9" i="4"/>
  <c r="S37" i="4"/>
  <c r="S31" i="4"/>
  <c r="AE13" i="3"/>
  <c r="AE11" i="3"/>
  <c r="AE10" i="3"/>
  <c r="AE52" i="2"/>
  <c r="AE45" i="2"/>
  <c r="D45" i="2"/>
  <c r="AE39" i="6"/>
  <c r="AE29" i="6"/>
  <c r="AE24" i="6"/>
  <c r="AE20" i="6"/>
  <c r="AE9" i="6"/>
  <c r="C25" i="7"/>
  <c r="C24" i="7"/>
  <c r="C23" i="7"/>
  <c r="B24" i="7"/>
  <c r="B23" i="7"/>
  <c r="C9" i="7"/>
  <c r="E22" i="2"/>
  <c r="D17" i="2"/>
  <c r="D35" i="5"/>
  <c r="D32" i="5"/>
  <c r="D30" i="5"/>
  <c r="D28" i="5"/>
  <c r="C35" i="5"/>
  <c r="C32" i="5"/>
  <c r="C31" i="5"/>
  <c r="C30" i="5"/>
  <c r="D16" i="5"/>
  <c r="D12" i="5"/>
  <c r="D11" i="5"/>
  <c r="D9" i="5"/>
  <c r="AD14" i="5"/>
  <c r="AD33" i="5"/>
  <c r="AD37" i="5" s="1"/>
  <c r="D33" i="5"/>
  <c r="AC25" i="7"/>
  <c r="E34" i="4"/>
  <c r="E29" i="4"/>
  <c r="E28" i="4"/>
  <c r="D18" i="4"/>
  <c r="D17" i="4"/>
  <c r="D16" i="4"/>
  <c r="D15" i="4"/>
  <c r="D14" i="4"/>
  <c r="D12" i="4"/>
  <c r="D11" i="4"/>
  <c r="D10" i="4"/>
  <c r="C17" i="4"/>
  <c r="C11" i="4"/>
  <c r="R18" i="4"/>
  <c r="R12" i="4"/>
  <c r="R37" i="4"/>
  <c r="R31" i="4"/>
  <c r="D44" i="3"/>
  <c r="D42" i="3"/>
  <c r="D40" i="3"/>
  <c r="D38" i="3"/>
  <c r="D36" i="3"/>
  <c r="D35" i="3"/>
  <c r="D34" i="3"/>
  <c r="D33" i="3"/>
  <c r="C42" i="3"/>
  <c r="C36" i="3"/>
  <c r="C35" i="3"/>
  <c r="C34" i="3"/>
  <c r="C33" i="3"/>
  <c r="D19" i="3"/>
  <c r="D17" i="3"/>
  <c r="D13" i="3"/>
  <c r="D12" i="3"/>
  <c r="D10" i="3"/>
  <c r="D66" i="2"/>
  <c r="D64" i="2"/>
  <c r="D63" i="2"/>
  <c r="D62" i="2"/>
  <c r="D61" i="2"/>
  <c r="D60" i="2"/>
  <c r="D58" i="2"/>
  <c r="D57" i="2"/>
  <c r="D56" i="2"/>
  <c r="D55" i="2"/>
  <c r="D54" i="2"/>
  <c r="D53" i="2"/>
  <c r="D51" i="2"/>
  <c r="D50" i="2"/>
  <c r="D49" i="2"/>
  <c r="D48" i="2"/>
  <c r="C66" i="2"/>
  <c r="C64" i="2"/>
  <c r="C63" i="2"/>
  <c r="C62" i="2"/>
  <c r="C61" i="2"/>
  <c r="C60" i="2"/>
  <c r="C58" i="2"/>
  <c r="C57" i="2"/>
  <c r="C56" i="2"/>
  <c r="C55" i="2"/>
  <c r="C54" i="2"/>
  <c r="C53" i="2"/>
  <c r="C51" i="2"/>
  <c r="C50" i="2"/>
  <c r="AD52" i="2"/>
  <c r="D52" i="2"/>
  <c r="AD45" i="2"/>
  <c r="D46" i="1"/>
  <c r="D45" i="1"/>
  <c r="D41" i="1"/>
  <c r="D37" i="1"/>
  <c r="D35" i="1"/>
  <c r="D34" i="1"/>
  <c r="D33" i="1"/>
  <c r="D32" i="1"/>
  <c r="D31" i="1"/>
  <c r="D28" i="1"/>
  <c r="D25" i="1"/>
  <c r="D24" i="1"/>
  <c r="D23" i="1"/>
  <c r="D22" i="1"/>
  <c r="D19" i="1"/>
  <c r="D18" i="1"/>
  <c r="D17" i="1"/>
  <c r="D16" i="1"/>
  <c r="D15" i="1"/>
  <c r="D14" i="1"/>
  <c r="D13" i="1"/>
  <c r="D11" i="1"/>
  <c r="D10" i="1"/>
  <c r="D9" i="1"/>
  <c r="C45" i="1"/>
  <c r="C41" i="1"/>
  <c r="C35" i="1"/>
  <c r="C34" i="1"/>
  <c r="C33" i="1"/>
  <c r="C32" i="1"/>
  <c r="C31" i="1"/>
  <c r="C28" i="1"/>
  <c r="C25" i="1"/>
  <c r="C24" i="1"/>
  <c r="C23" i="1"/>
  <c r="C19" i="1"/>
  <c r="C18" i="1"/>
  <c r="C17" i="1"/>
  <c r="C16" i="1"/>
  <c r="C15" i="1"/>
  <c r="C14" i="1"/>
  <c r="C11" i="1"/>
  <c r="C10" i="1"/>
  <c r="D49" i="6"/>
  <c r="C49" i="6"/>
  <c r="D51" i="6"/>
  <c r="D50" i="6"/>
  <c r="D48" i="6"/>
  <c r="D46" i="6"/>
  <c r="D44" i="6"/>
  <c r="D42" i="6"/>
  <c r="D41" i="6"/>
  <c r="C50" i="6"/>
  <c r="C48" i="6"/>
  <c r="C44" i="6"/>
  <c r="C43" i="6"/>
  <c r="C42" i="6"/>
  <c r="C41" i="6"/>
  <c r="A7" i="6"/>
  <c r="A8" i="6" s="1"/>
  <c r="A9" i="6" s="1"/>
  <c r="D9" i="6" s="1"/>
  <c r="Z9" i="6"/>
  <c r="AD39" i="6"/>
  <c r="AD29" i="6"/>
  <c r="AD24" i="6"/>
  <c r="AD20" i="6"/>
  <c r="AD9" i="6"/>
  <c r="D59" i="2"/>
  <c r="Q37" i="1"/>
  <c r="P37" i="1"/>
  <c r="C37" i="1"/>
  <c r="O37" i="1"/>
  <c r="N37" i="1"/>
  <c r="M37" i="1"/>
  <c r="L37" i="1"/>
  <c r="K37" i="1"/>
  <c r="J37" i="1"/>
  <c r="I37" i="1"/>
  <c r="Q13" i="1"/>
  <c r="P13" i="1"/>
  <c r="O13" i="1"/>
  <c r="N13" i="1"/>
  <c r="M13" i="1"/>
  <c r="L13" i="1"/>
  <c r="K13" i="1"/>
  <c r="J13" i="1"/>
  <c r="I13" i="1"/>
  <c r="Q9" i="1"/>
  <c r="O9" i="1"/>
  <c r="N9" i="1"/>
  <c r="M9" i="1"/>
  <c r="L9" i="1"/>
  <c r="K9" i="1"/>
  <c r="J9" i="1"/>
  <c r="I9" i="1"/>
  <c r="AC46" i="6"/>
  <c r="AC16" i="5"/>
  <c r="AC13" i="5"/>
  <c r="AC12" i="5"/>
  <c r="AC11" i="5"/>
  <c r="AC33" i="5"/>
  <c r="AC37" i="5" s="1"/>
  <c r="AB9" i="7"/>
  <c r="AB10" i="7"/>
  <c r="AB25" i="7"/>
  <c r="AB11" i="7" s="1"/>
  <c r="Q16" i="4"/>
  <c r="Q15" i="4"/>
  <c r="Q14" i="4"/>
  <c r="Q10" i="4"/>
  <c r="Q9" i="4"/>
  <c r="Q31" i="4"/>
  <c r="Q37" i="4"/>
  <c r="AC44" i="3"/>
  <c r="AC46" i="3" s="1"/>
  <c r="AC38" i="3"/>
  <c r="AC52" i="2"/>
  <c r="AC45" i="2"/>
  <c r="AC51" i="6"/>
  <c r="AC39" i="6"/>
  <c r="AC29" i="6"/>
  <c r="AC24" i="6"/>
  <c r="AC20" i="6"/>
  <c r="AC9" i="6"/>
  <c r="AA10" i="7"/>
  <c r="B10" i="7"/>
  <c r="AA9" i="7"/>
  <c r="AA27" i="7"/>
  <c r="AB16" i="5"/>
  <c r="AB13" i="5"/>
  <c r="AB12" i="5"/>
  <c r="AB14" i="5" s="1"/>
  <c r="AB11" i="5"/>
  <c r="AB33" i="5"/>
  <c r="AA29" i="6"/>
  <c r="P16" i="4"/>
  <c r="C16" i="4"/>
  <c r="P15" i="4"/>
  <c r="P14" i="4"/>
  <c r="P10" i="4"/>
  <c r="P9" i="4"/>
  <c r="C9" i="4"/>
  <c r="AB19" i="3"/>
  <c r="C19" i="3"/>
  <c r="AB12" i="3"/>
  <c r="C12" i="3"/>
  <c r="AB11" i="3"/>
  <c r="C11" i="3"/>
  <c r="AB10" i="3"/>
  <c r="C10" i="3"/>
  <c r="AB9" i="3"/>
  <c r="C9" i="3"/>
  <c r="AB29" i="2"/>
  <c r="AB28" i="2"/>
  <c r="AB27" i="2"/>
  <c r="P31" i="4"/>
  <c r="AB38" i="3"/>
  <c r="C40" i="3"/>
  <c r="AA51" i="6"/>
  <c r="Z29" i="6"/>
  <c r="P37" i="4"/>
  <c r="AB45" i="2"/>
  <c r="AB46" i="6"/>
  <c r="C46" i="6"/>
  <c r="AB51" i="6"/>
  <c r="AB39" i="6"/>
  <c r="C39" i="6"/>
  <c r="AB29" i="6"/>
  <c r="AB24" i="6"/>
  <c r="AB20" i="6"/>
  <c r="AB9" i="6"/>
  <c r="M18" i="4"/>
  <c r="M12" i="4"/>
  <c r="M37" i="4"/>
  <c r="M31" i="4"/>
  <c r="AA14" i="5"/>
  <c r="Z11" i="7"/>
  <c r="Z25" i="7"/>
  <c r="O37" i="4"/>
  <c r="O31" i="4"/>
  <c r="O18" i="4"/>
  <c r="O12" i="4"/>
  <c r="AA38" i="3"/>
  <c r="AA15" i="3"/>
  <c r="AA52" i="2"/>
  <c r="AA45" i="2"/>
  <c r="AA17" i="2"/>
  <c r="AA10" i="2"/>
  <c r="AA46" i="6"/>
  <c r="AA39" i="6"/>
  <c r="AA9" i="6"/>
  <c r="AA24" i="6"/>
  <c r="AA20" i="6"/>
  <c r="Y25" i="7"/>
  <c r="Y11" i="7"/>
  <c r="Z14" i="5"/>
  <c r="Z38" i="3"/>
  <c r="Z15" i="3"/>
  <c r="Z52" i="2"/>
  <c r="Z45" i="2"/>
  <c r="Z17" i="2"/>
  <c r="Z10" i="2"/>
  <c r="Z51" i="6"/>
  <c r="Z46" i="6"/>
  <c r="Y46" i="6"/>
  <c r="X46" i="6"/>
  <c r="Z39" i="6"/>
  <c r="Z24" i="6"/>
  <c r="Z20" i="6"/>
  <c r="X25" i="7"/>
  <c r="X11" i="7"/>
  <c r="Q37" i="5"/>
  <c r="R37" i="5"/>
  <c r="S33" i="5"/>
  <c r="S37" i="5" s="1"/>
  <c r="T33" i="5"/>
  <c r="T37" i="5" s="1"/>
  <c r="U33" i="5"/>
  <c r="U37" i="5" s="1"/>
  <c r="V33" i="5"/>
  <c r="V37" i="5" s="1"/>
  <c r="W33" i="5"/>
  <c r="W37" i="5" s="1"/>
  <c r="X33" i="5"/>
  <c r="X37" i="5" s="1"/>
  <c r="Y28" i="5" s="1"/>
  <c r="Y33" i="5"/>
  <c r="R14" i="5"/>
  <c r="S14" i="5"/>
  <c r="T14" i="5"/>
  <c r="U14" i="5"/>
  <c r="U18" i="5" s="1"/>
  <c r="V9" i="5" s="1"/>
  <c r="V14" i="5"/>
  <c r="W14" i="5"/>
  <c r="X14" i="5"/>
  <c r="Y14" i="5"/>
  <c r="Y38" i="3"/>
  <c r="Y15" i="3"/>
  <c r="Q52" i="2"/>
  <c r="R52" i="2"/>
  <c r="S52" i="2"/>
  <c r="T52" i="2"/>
  <c r="U52" i="2"/>
  <c r="V52" i="2"/>
  <c r="W52" i="2"/>
  <c r="X52" i="2"/>
  <c r="Q45" i="2"/>
  <c r="R45" i="2"/>
  <c r="S45" i="2"/>
  <c r="T45" i="2"/>
  <c r="U45" i="2"/>
  <c r="V45" i="2"/>
  <c r="W45" i="2"/>
  <c r="X45" i="2"/>
  <c r="Y52" i="2"/>
  <c r="Y45" i="2"/>
  <c r="I17" i="2"/>
  <c r="J17" i="2"/>
  <c r="K17" i="2"/>
  <c r="L17" i="2"/>
  <c r="M17" i="2"/>
  <c r="N17" i="2"/>
  <c r="O17" i="2"/>
  <c r="P17" i="2"/>
  <c r="Q17" i="2"/>
  <c r="R17" i="2"/>
  <c r="S17" i="2"/>
  <c r="T17" i="2"/>
  <c r="U17" i="2"/>
  <c r="V17" i="2"/>
  <c r="W17" i="2"/>
  <c r="I10" i="2"/>
  <c r="J10" i="2"/>
  <c r="K10" i="2"/>
  <c r="L10" i="2"/>
  <c r="M10" i="2"/>
  <c r="N10" i="2"/>
  <c r="O10" i="2"/>
  <c r="P10" i="2"/>
  <c r="Q10" i="2"/>
  <c r="R10" i="2"/>
  <c r="S10" i="2"/>
  <c r="T10" i="2"/>
  <c r="U10" i="2"/>
  <c r="V10" i="2"/>
  <c r="W10" i="2"/>
  <c r="X10" i="2"/>
  <c r="X17" i="2"/>
  <c r="Y17" i="2"/>
  <c r="Y10" i="2"/>
  <c r="J24" i="6"/>
  <c r="K24" i="6"/>
  <c r="L24" i="6"/>
  <c r="M24" i="6"/>
  <c r="N24" i="6"/>
  <c r="O24" i="6"/>
  <c r="P24" i="6"/>
  <c r="Q24" i="6"/>
  <c r="R24" i="6"/>
  <c r="S24" i="6"/>
  <c r="T24" i="6"/>
  <c r="U24" i="6"/>
  <c r="V24" i="6"/>
  <c r="W24" i="6"/>
  <c r="X24" i="6"/>
  <c r="Y24" i="6"/>
  <c r="I24" i="6"/>
  <c r="J20" i="6"/>
  <c r="K20" i="6"/>
  <c r="L20" i="6"/>
  <c r="M20" i="6"/>
  <c r="N20" i="6"/>
  <c r="O20" i="6"/>
  <c r="P20" i="6"/>
  <c r="Q20" i="6"/>
  <c r="R20" i="6"/>
  <c r="S20" i="6"/>
  <c r="T20" i="6"/>
  <c r="U20" i="6"/>
  <c r="V20" i="6"/>
  <c r="W20" i="6"/>
  <c r="X20" i="6"/>
  <c r="Y20" i="6"/>
  <c r="I20" i="6"/>
  <c r="N12" i="4"/>
  <c r="N18" i="4"/>
  <c r="N31" i="4"/>
  <c r="N37" i="4"/>
  <c r="Y39" i="6"/>
  <c r="Y9" i="6"/>
  <c r="Y29" i="6"/>
  <c r="C17" i="3"/>
  <c r="W11" i="7"/>
  <c r="W25" i="7"/>
  <c r="X9" i="6"/>
  <c r="X29" i="6"/>
  <c r="X39" i="6"/>
  <c r="K12" i="4"/>
  <c r="L12" i="4"/>
  <c r="K18" i="4"/>
  <c r="L37" i="4"/>
  <c r="L18" i="4"/>
  <c r="J18" i="4"/>
  <c r="I18" i="4"/>
  <c r="J12" i="4"/>
  <c r="I12" i="4"/>
  <c r="J37" i="4"/>
  <c r="K37" i="4"/>
  <c r="I37" i="4"/>
  <c r="J31" i="4"/>
  <c r="K31" i="4"/>
  <c r="I31" i="4"/>
  <c r="Q11" i="7"/>
  <c r="R11" i="7"/>
  <c r="S11" i="7"/>
  <c r="T11" i="7"/>
  <c r="U11" i="7"/>
  <c r="V11" i="7"/>
  <c r="Q25" i="7"/>
  <c r="Q27" i="7" s="1"/>
  <c r="R25" i="7"/>
  <c r="R27" i="7" s="1"/>
  <c r="S25" i="7"/>
  <c r="T25" i="7"/>
  <c r="V25" i="7"/>
  <c r="P25" i="7"/>
  <c r="P27" i="7" s="1"/>
  <c r="I11" i="7"/>
  <c r="I13" i="7" s="1"/>
  <c r="J11" i="7"/>
  <c r="J13" i="7" s="1"/>
  <c r="K11" i="7"/>
  <c r="L11" i="7"/>
  <c r="M11" i="7"/>
  <c r="N11" i="7"/>
  <c r="O11" i="7"/>
  <c r="P11" i="7"/>
  <c r="H11" i="7"/>
  <c r="H13" i="7" s="1"/>
  <c r="J29" i="6"/>
  <c r="K29" i="6"/>
  <c r="L29" i="6"/>
  <c r="M29" i="6"/>
  <c r="N29" i="6"/>
  <c r="O29" i="6"/>
  <c r="P29" i="6"/>
  <c r="Q29" i="6"/>
  <c r="R29" i="6"/>
  <c r="S29" i="6"/>
  <c r="T29" i="6"/>
  <c r="V29" i="6"/>
  <c r="W29" i="6"/>
  <c r="I29" i="6"/>
  <c r="J9" i="6"/>
  <c r="K9" i="6"/>
  <c r="L9" i="6"/>
  <c r="M9" i="6"/>
  <c r="N9" i="6"/>
  <c r="O9" i="6"/>
  <c r="P9" i="6"/>
  <c r="Q9" i="6"/>
  <c r="R9" i="6"/>
  <c r="S9" i="6"/>
  <c r="T9" i="6"/>
  <c r="U9" i="6"/>
  <c r="V9" i="6"/>
  <c r="W9" i="6"/>
  <c r="I9" i="6"/>
  <c r="R39" i="6"/>
  <c r="S39" i="6"/>
  <c r="T39" i="6"/>
  <c r="U39" i="6"/>
  <c r="V39" i="6"/>
  <c r="W39" i="6"/>
  <c r="Q39" i="6"/>
  <c r="E35" i="4"/>
  <c r="L31" i="4"/>
  <c r="AF11" i="7" l="1"/>
  <c r="C44" i="3"/>
  <c r="E44" i="3" s="1"/>
  <c r="V17" i="6"/>
  <c r="C51" i="6"/>
  <c r="AI25" i="7"/>
  <c r="L21" i="1"/>
  <c r="E35" i="1"/>
  <c r="E37" i="1"/>
  <c r="U18" i="4"/>
  <c r="E41" i="1"/>
  <c r="E33" i="5"/>
  <c r="E32" i="5"/>
  <c r="E31" i="5"/>
  <c r="AC17" i="6"/>
  <c r="S18" i="4"/>
  <c r="C38" i="3"/>
  <c r="E38" i="3" s="1"/>
  <c r="AB17" i="2"/>
  <c r="C10" i="2"/>
  <c r="E10" i="2" s="1"/>
  <c r="AB59" i="2"/>
  <c r="AB65" i="2" s="1"/>
  <c r="AB67" i="2" s="1"/>
  <c r="C17" i="2"/>
  <c r="E17" i="2" s="1"/>
  <c r="E11" i="2"/>
  <c r="AI17" i="2"/>
  <c r="AE25" i="2"/>
  <c r="AE31" i="2" s="1"/>
  <c r="AE33" i="2" s="1"/>
  <c r="D25" i="2"/>
  <c r="AD17" i="2"/>
  <c r="AD25" i="2" s="1"/>
  <c r="AD31" i="2" s="1"/>
  <c r="AD33" i="2" s="1"/>
  <c r="T59" i="2"/>
  <c r="T65" i="2" s="1"/>
  <c r="T67" i="2" s="1"/>
  <c r="Q25" i="2"/>
  <c r="Q31" i="2" s="1"/>
  <c r="Q33" i="2" s="1"/>
  <c r="AI59" i="2"/>
  <c r="AI65" i="2" s="1"/>
  <c r="O25" i="2"/>
  <c r="O31" i="2" s="1"/>
  <c r="O33" i="2" s="1"/>
  <c r="X25" i="2"/>
  <c r="X31" i="2" s="1"/>
  <c r="X33" i="2" s="1"/>
  <c r="AH10" i="2"/>
  <c r="L25" i="2"/>
  <c r="L31" i="2" s="1"/>
  <c r="L33" i="2" s="1"/>
  <c r="X21" i="1"/>
  <c r="X27" i="1" s="1"/>
  <c r="T21" i="1"/>
  <c r="T29" i="1" s="1"/>
  <c r="AE17" i="6"/>
  <c r="W17" i="6"/>
  <c r="J17" i="6"/>
  <c r="N17" i="6"/>
  <c r="AD17" i="6"/>
  <c r="S17" i="6"/>
  <c r="AE14" i="5"/>
  <c r="AE18" i="5" s="1"/>
  <c r="X12" i="4"/>
  <c r="C12" i="4" s="1"/>
  <c r="E12" i="4" s="1"/>
  <c r="AC15" i="3"/>
  <c r="S59" i="2"/>
  <c r="S65" i="2" s="1"/>
  <c r="S67" i="2" s="1"/>
  <c r="W25" i="2"/>
  <c r="W31" i="2" s="1"/>
  <c r="W33" i="2" s="1"/>
  <c r="AF10" i="2"/>
  <c r="J25" i="2"/>
  <c r="J31" i="2" s="1"/>
  <c r="J33" i="2" s="1"/>
  <c r="AC59" i="2"/>
  <c r="AC65" i="2" s="1"/>
  <c r="AC67" i="2" s="1"/>
  <c r="J21" i="1"/>
  <c r="J29" i="1" s="1"/>
  <c r="O21" i="1"/>
  <c r="O29" i="1" s="1"/>
  <c r="Q21" i="1"/>
  <c r="Q29" i="1" s="1"/>
  <c r="Z17" i="6"/>
  <c r="Y17" i="6"/>
  <c r="M17" i="6"/>
  <c r="Y37" i="5"/>
  <c r="Z28" i="5" s="1"/>
  <c r="Z37" i="5" s="1"/>
  <c r="AA28" i="5" s="1"/>
  <c r="AA37" i="5" s="1"/>
  <c r="AB28" i="5" s="1"/>
  <c r="AB37" i="5" s="1"/>
  <c r="AG14" i="5"/>
  <c r="E30" i="5"/>
  <c r="P21" i="1"/>
  <c r="P29" i="1" s="1"/>
  <c r="AI14" i="5"/>
  <c r="Z59" i="2"/>
  <c r="Z65" i="2" s="1"/>
  <c r="Z67" i="2" s="1"/>
  <c r="M25" i="2"/>
  <c r="M31" i="2" s="1"/>
  <c r="M33" i="2" s="1"/>
  <c r="AA59" i="2"/>
  <c r="AA65" i="2" s="1"/>
  <c r="AA67" i="2" s="1"/>
  <c r="P12" i="4"/>
  <c r="AC14" i="5"/>
  <c r="N21" i="1"/>
  <c r="N27" i="1" s="1"/>
  <c r="N39" i="1" s="1"/>
  <c r="N43" i="1" s="1"/>
  <c r="U12" i="4"/>
  <c r="E12" i="5"/>
  <c r="AH15" i="3"/>
  <c r="C13" i="1"/>
  <c r="E13" i="1" s="1"/>
  <c r="X18" i="4"/>
  <c r="C18" i="4" s="1"/>
  <c r="E18" i="4" s="1"/>
  <c r="W12" i="4"/>
  <c r="AI10" i="2"/>
  <c r="Q12" i="4"/>
  <c r="I21" i="1"/>
  <c r="I29" i="1" s="1"/>
  <c r="V21" i="1"/>
  <c r="V29" i="1" s="1"/>
  <c r="K17" i="6"/>
  <c r="K25" i="2"/>
  <c r="K31" i="2" s="1"/>
  <c r="K33" i="2" s="1"/>
  <c r="O17" i="6"/>
  <c r="I25" i="2"/>
  <c r="I31" i="2" s="1"/>
  <c r="I33" i="2" s="1"/>
  <c r="W59" i="2"/>
  <c r="W65" i="2" s="1"/>
  <c r="W67" i="2" s="1"/>
  <c r="V18" i="5"/>
  <c r="W9" i="5" s="1"/>
  <c r="W18" i="5" s="1"/>
  <c r="X9" i="5" s="1"/>
  <c r="X18" i="5" s="1"/>
  <c r="Y9" i="5" s="1"/>
  <c r="Y18" i="5" s="1"/>
  <c r="Z9" i="5" s="1"/>
  <c r="Z18" i="5" s="1"/>
  <c r="AA9" i="5" s="1"/>
  <c r="AA18" i="5" s="1"/>
  <c r="AB9" i="5" s="1"/>
  <c r="AB18" i="5" s="1"/>
  <c r="AC9" i="5" s="1"/>
  <c r="AC18" i="5" s="1"/>
  <c r="AD9" i="5" s="1"/>
  <c r="AD18" i="5" s="1"/>
  <c r="Q18" i="4"/>
  <c r="AJ17" i="6"/>
  <c r="V59" i="2"/>
  <c r="V65" i="2" s="1"/>
  <c r="V67" i="2" s="1"/>
  <c r="AE59" i="2"/>
  <c r="AE65" i="2" s="1"/>
  <c r="AE67" i="2" s="1"/>
  <c r="AG10" i="2"/>
  <c r="Y25" i="2"/>
  <c r="Y31" i="2" s="1"/>
  <c r="Y33" i="2" s="1"/>
  <c r="I17" i="6"/>
  <c r="U59" i="2"/>
  <c r="U65" i="2" s="1"/>
  <c r="U67" i="2" s="1"/>
  <c r="Z25" i="2"/>
  <c r="Z31" i="2" s="1"/>
  <c r="Z33" i="2" s="1"/>
  <c r="M21" i="1"/>
  <c r="M27" i="1" s="1"/>
  <c r="M39" i="1" s="1"/>
  <c r="M43" i="1" s="1"/>
  <c r="AD59" i="2"/>
  <c r="AD65" i="2" s="1"/>
  <c r="AD67" i="2" s="1"/>
  <c r="AI15" i="3"/>
  <c r="AI9" i="7"/>
  <c r="AE15" i="3"/>
  <c r="AD11" i="7"/>
  <c r="AH14" i="5"/>
  <c r="AJ10" i="2"/>
  <c r="AA11" i="7"/>
  <c r="AH11" i="7"/>
  <c r="W18" i="4"/>
  <c r="V12" i="4"/>
  <c r="P18" i="4"/>
  <c r="S12" i="4"/>
  <c r="V18" i="4"/>
  <c r="AJ15" i="3"/>
  <c r="D15" i="3" s="1"/>
  <c r="AB15" i="3"/>
  <c r="C52" i="2"/>
  <c r="E52" i="2" s="1"/>
  <c r="X59" i="2"/>
  <c r="X65" i="2" s="1"/>
  <c r="X67" i="2" s="1"/>
  <c r="AH17" i="2"/>
  <c r="T25" i="2"/>
  <c r="T31" i="2" s="1"/>
  <c r="T33" i="2" s="1"/>
  <c r="AH59" i="2"/>
  <c r="AH65" i="2" s="1"/>
  <c r="S25" i="2"/>
  <c r="S31" i="2" s="1"/>
  <c r="S33" i="2" s="1"/>
  <c r="Y59" i="2"/>
  <c r="Y65" i="2" s="1"/>
  <c r="Y67" i="2" s="1"/>
  <c r="AG59" i="2"/>
  <c r="AG65" i="2" s="1"/>
  <c r="AG67" i="2" s="1"/>
  <c r="AG33" i="2" s="1"/>
  <c r="AJ59" i="2"/>
  <c r="AJ65" i="2" s="1"/>
  <c r="AJ67" i="2" s="1"/>
  <c r="AF17" i="2"/>
  <c r="AF25" i="2" s="1"/>
  <c r="AF31" i="2" s="1"/>
  <c r="AF33" i="2" s="1"/>
  <c r="AI25" i="2"/>
  <c r="AI31" i="2" s="1"/>
  <c r="P25" i="2"/>
  <c r="P31" i="2" s="1"/>
  <c r="P33" i="2" s="1"/>
  <c r="R59" i="2"/>
  <c r="R65" i="2" s="1"/>
  <c r="R67" i="2" s="1"/>
  <c r="U25" i="2"/>
  <c r="U31" i="2" s="1"/>
  <c r="U33" i="2" s="1"/>
  <c r="Q59" i="2"/>
  <c r="Q65" i="2" s="1"/>
  <c r="Q67" i="2" s="1"/>
  <c r="E36" i="3"/>
  <c r="AB10" i="2"/>
  <c r="AB25" i="2" s="1"/>
  <c r="AB31" i="2" s="1"/>
  <c r="AB33" i="2" s="1"/>
  <c r="R25" i="2"/>
  <c r="R31" i="2" s="1"/>
  <c r="R33" i="2" s="1"/>
  <c r="N25" i="2"/>
  <c r="N31" i="2" s="1"/>
  <c r="N33" i="2" s="1"/>
  <c r="AA25" i="2"/>
  <c r="AA31" i="2" s="1"/>
  <c r="AA33" i="2" s="1"/>
  <c r="AC10" i="2"/>
  <c r="U21" i="1"/>
  <c r="U27" i="1" s="1"/>
  <c r="U39" i="1" s="1"/>
  <c r="U43" i="1" s="1"/>
  <c r="R39" i="1"/>
  <c r="R43" i="1" s="1"/>
  <c r="S21" i="1"/>
  <c r="S29" i="1" s="1"/>
  <c r="K21" i="1"/>
  <c r="K29" i="1" s="1"/>
  <c r="W21" i="1"/>
  <c r="W29" i="1" s="1"/>
  <c r="E39" i="6"/>
  <c r="R17" i="6"/>
  <c r="L17" i="6"/>
  <c r="AG17" i="6"/>
  <c r="T17" i="6"/>
  <c r="Q17" i="6"/>
  <c r="AF17" i="6"/>
  <c r="X17" i="6"/>
  <c r="AI17" i="6"/>
  <c r="U17" i="6"/>
  <c r="P17" i="6"/>
  <c r="AA17" i="6"/>
  <c r="AB17" i="6"/>
  <c r="AG28" i="5"/>
  <c r="AJ14" i="5"/>
  <c r="D14" i="5" s="1"/>
  <c r="E11" i="5"/>
  <c r="AJ17" i="2"/>
  <c r="AC17" i="2"/>
  <c r="E42" i="3"/>
  <c r="E35" i="3"/>
  <c r="V25" i="2"/>
  <c r="V31" i="2" s="1"/>
  <c r="V33" i="2" s="1"/>
  <c r="D23" i="7"/>
  <c r="C11" i="7"/>
  <c r="D10" i="7"/>
  <c r="E33" i="4"/>
  <c r="E31" i="4"/>
  <c r="E16" i="4"/>
  <c r="E14" i="4"/>
  <c r="E15" i="4"/>
  <c r="E9" i="4"/>
  <c r="E10" i="4"/>
  <c r="E37" i="4"/>
  <c r="E9" i="3"/>
  <c r="D47" i="3"/>
  <c r="AJ46" i="3"/>
  <c r="C46" i="3" s="1"/>
  <c r="D11" i="3"/>
  <c r="E11" i="3" s="1"/>
  <c r="E48" i="2"/>
  <c r="D24" i="7"/>
  <c r="AG17" i="2"/>
  <c r="E61" i="2"/>
  <c r="E62" i="2"/>
  <c r="E53" i="2"/>
  <c r="E10" i="3"/>
  <c r="E47" i="2"/>
  <c r="E57" i="2"/>
  <c r="E33" i="3"/>
  <c r="E12" i="3"/>
  <c r="E45" i="2"/>
  <c r="E17" i="3"/>
  <c r="E50" i="2"/>
  <c r="E55" i="2"/>
  <c r="E46" i="2"/>
  <c r="E13" i="3"/>
  <c r="E63" i="2"/>
  <c r="E34" i="3"/>
  <c r="D65" i="2"/>
  <c r="AF59" i="2"/>
  <c r="E31" i="1"/>
  <c r="E25" i="1"/>
  <c r="E10" i="1"/>
  <c r="E9" i="1"/>
  <c r="E18" i="1"/>
  <c r="E24" i="1"/>
  <c r="E14" i="1"/>
  <c r="E32" i="1"/>
  <c r="E15" i="1"/>
  <c r="E16" i="1"/>
  <c r="E34" i="1"/>
  <c r="T27" i="1"/>
  <c r="D21" i="1"/>
  <c r="L27" i="1"/>
  <c r="L39" i="1" s="1"/>
  <c r="L43" i="1" s="1"/>
  <c r="L29" i="1"/>
  <c r="R29" i="1"/>
  <c r="E19" i="1"/>
  <c r="E23" i="1"/>
  <c r="E11" i="1"/>
  <c r="E44" i="6"/>
  <c r="E41" i="6"/>
  <c r="E48" i="6"/>
  <c r="E46" i="6"/>
  <c r="C9" i="6"/>
  <c r="A10" i="6"/>
  <c r="A11" i="6" s="1"/>
  <c r="C11" i="6" l="1"/>
  <c r="D11" i="6"/>
  <c r="E14" i="5"/>
  <c r="I27" i="1"/>
  <c r="I39" i="1" s="1"/>
  <c r="I43" i="1" s="1"/>
  <c r="O27" i="1"/>
  <c r="O39" i="1" s="1"/>
  <c r="O43" i="1" s="1"/>
  <c r="AI27" i="7"/>
  <c r="B25" i="7"/>
  <c r="D25" i="7" s="1"/>
  <c r="C15" i="3"/>
  <c r="E15" i="3" s="1"/>
  <c r="U29" i="1"/>
  <c r="AG25" i="2"/>
  <c r="AG31" i="2" s="1"/>
  <c r="C25" i="2"/>
  <c r="E25" i="2" s="1"/>
  <c r="AC26" i="7"/>
  <c r="AC27" i="7" s="1"/>
  <c r="O12" i="7"/>
  <c r="O13" i="7" s="1"/>
  <c r="C31" i="2"/>
  <c r="C33" i="2" s="1"/>
  <c r="T26" i="7"/>
  <c r="T27" i="7" s="1"/>
  <c r="L12" i="7"/>
  <c r="L13" i="7" s="1"/>
  <c r="N12" i="7"/>
  <c r="N13" i="7" s="1"/>
  <c r="D31" i="2"/>
  <c r="K12" i="7"/>
  <c r="K13" i="7" s="1"/>
  <c r="AH25" i="2"/>
  <c r="AH31" i="2" s="1"/>
  <c r="X26" i="7"/>
  <c r="X27" i="7" s="1"/>
  <c r="AD26" i="7"/>
  <c r="AD27" i="7" s="1"/>
  <c r="AB26" i="7"/>
  <c r="AB27" i="7" s="1"/>
  <c r="V26" i="7"/>
  <c r="V27" i="7" s="1"/>
  <c r="M12" i="7"/>
  <c r="M13" i="7" s="1"/>
  <c r="P12" i="7"/>
  <c r="P13" i="7" s="1"/>
  <c r="W26" i="7"/>
  <c r="W27" i="7" s="1"/>
  <c r="U26" i="7"/>
  <c r="U27" i="7" s="1"/>
  <c r="W12" i="7"/>
  <c r="W13" i="7" s="1"/>
  <c r="X29" i="1"/>
  <c r="D29" i="1" s="1"/>
  <c r="K27" i="1"/>
  <c r="K39" i="1" s="1"/>
  <c r="K43" i="1" s="1"/>
  <c r="Q27" i="1"/>
  <c r="Q39" i="1" s="1"/>
  <c r="Q43" i="1" s="1"/>
  <c r="J27" i="1"/>
  <c r="J39" i="1" s="1"/>
  <c r="J43" i="1" s="1"/>
  <c r="Z12" i="7"/>
  <c r="Z13" i="7" s="1"/>
  <c r="Q12" i="7"/>
  <c r="Q13" i="7" s="1"/>
  <c r="S26" i="7"/>
  <c r="S27" i="7" s="1"/>
  <c r="S27" i="1"/>
  <c r="S39" i="1" s="1"/>
  <c r="S43" i="1" s="1"/>
  <c r="M29" i="1"/>
  <c r="P27" i="1"/>
  <c r="P39" i="1" s="1"/>
  <c r="P43" i="1" s="1"/>
  <c r="W27" i="1"/>
  <c r="W39" i="1" s="1"/>
  <c r="W43" i="1" s="1"/>
  <c r="Y12" i="7"/>
  <c r="Y13" i="7" s="1"/>
  <c r="N29" i="1"/>
  <c r="V27" i="1"/>
  <c r="V39" i="1" s="1"/>
  <c r="V43" i="1" s="1"/>
  <c r="AJ25" i="2"/>
  <c r="AJ31" i="2" s="1"/>
  <c r="AJ33" i="2" s="1"/>
  <c r="AJ12" i="7" s="1"/>
  <c r="AJ13" i="7" s="1"/>
  <c r="U12" i="7"/>
  <c r="U13" i="7" s="1"/>
  <c r="D67" i="2"/>
  <c r="AK26" i="7"/>
  <c r="AK12" i="7" s="1"/>
  <c r="AI11" i="7"/>
  <c r="B9" i="7"/>
  <c r="D9" i="7" s="1"/>
  <c r="C21" i="1"/>
  <c r="E21" i="1" s="1"/>
  <c r="S12" i="7"/>
  <c r="S13" i="7" s="1"/>
  <c r="Z26" i="7"/>
  <c r="Z27" i="7" s="1"/>
  <c r="AJ18" i="5"/>
  <c r="AK9" i="5" s="1"/>
  <c r="AK18" i="5" s="1"/>
  <c r="X12" i="7"/>
  <c r="X13" i="7" s="1"/>
  <c r="AA12" i="7"/>
  <c r="AA13" i="7" s="1"/>
  <c r="V12" i="7"/>
  <c r="V13" i="7" s="1"/>
  <c r="T12" i="7"/>
  <c r="T13" i="7" s="1"/>
  <c r="Y26" i="7"/>
  <c r="Y27" i="7" s="1"/>
  <c r="R12" i="7"/>
  <c r="R13" i="7" s="1"/>
  <c r="AC25" i="2"/>
  <c r="AC31" i="2" s="1"/>
  <c r="AC33" i="2" s="1"/>
  <c r="D18" i="5"/>
  <c r="AG9" i="5"/>
  <c r="AG18" i="5" s="1"/>
  <c r="AH9" i="5" s="1"/>
  <c r="AG37" i="5"/>
  <c r="AH28" i="5" s="1"/>
  <c r="AJ23" i="3"/>
  <c r="D46" i="3"/>
  <c r="AG12" i="7"/>
  <c r="AH12" i="7"/>
  <c r="AH13" i="7" s="1"/>
  <c r="B12" i="7"/>
  <c r="AF12" i="7"/>
  <c r="AF13" i="7" s="1"/>
  <c r="C59" i="2"/>
  <c r="E59" i="2" s="1"/>
  <c r="AF65" i="2"/>
  <c r="AB40" i="3"/>
  <c r="T39" i="1"/>
  <c r="C27" i="1"/>
  <c r="X39" i="1"/>
  <c r="X43" i="1" s="1"/>
  <c r="D27" i="1"/>
  <c r="A12" i="6"/>
  <c r="D12" i="6" s="1"/>
  <c r="E9" i="6"/>
  <c r="D23" i="3" l="1"/>
  <c r="C23" i="3"/>
  <c r="C29" i="1"/>
  <c r="E29" i="1" s="1"/>
  <c r="E31" i="2"/>
  <c r="D33" i="2"/>
  <c r="E33" i="2" s="1"/>
  <c r="AH37" i="5"/>
  <c r="AH18" i="5"/>
  <c r="AK27" i="7"/>
  <c r="C27" i="7" s="1"/>
  <c r="C26" i="7"/>
  <c r="B11" i="7"/>
  <c r="D11" i="7" s="1"/>
  <c r="AI13" i="7"/>
  <c r="AE12" i="7"/>
  <c r="AE13" i="7" s="1"/>
  <c r="AB12" i="7"/>
  <c r="AB13" i="7" s="1"/>
  <c r="AD12" i="7"/>
  <c r="AD13" i="7" s="1"/>
  <c r="AC12" i="7"/>
  <c r="AC13" i="7" s="1"/>
  <c r="AF67" i="2"/>
  <c r="C65" i="2"/>
  <c r="E65" i="2" s="1"/>
  <c r="AB44" i="3"/>
  <c r="AB46" i="3" s="1"/>
  <c r="AB17" i="3"/>
  <c r="AB21" i="3" s="1"/>
  <c r="E27" i="1"/>
  <c r="D43" i="1"/>
  <c r="D39" i="1"/>
  <c r="C39" i="1"/>
  <c r="T43" i="1"/>
  <c r="C43" i="1" s="1"/>
  <c r="E11" i="6"/>
  <c r="A13" i="6"/>
  <c r="D13" i="6" s="1"/>
  <c r="C12" i="6"/>
  <c r="B13" i="7" l="1"/>
  <c r="E39" i="1"/>
  <c r="E43" i="1"/>
  <c r="AI9" i="5"/>
  <c r="AI28" i="5"/>
  <c r="AK13" i="7"/>
  <c r="C13" i="7" s="1"/>
  <c r="C12" i="7"/>
  <c r="C67" i="2"/>
  <c r="E67" i="2" s="1"/>
  <c r="AH26" i="7"/>
  <c r="AH27" i="7" s="1"/>
  <c r="AE26" i="7"/>
  <c r="AG26" i="7"/>
  <c r="AG27" i="7" s="1"/>
  <c r="E12" i="6"/>
  <c r="A14" i="6"/>
  <c r="D14" i="6" s="1"/>
  <c r="C13" i="6"/>
  <c r="D13" i="7" l="1"/>
  <c r="D12" i="7"/>
  <c r="AI37" i="5"/>
  <c r="C37" i="5" s="1"/>
  <c r="E37" i="5" s="1"/>
  <c r="C28" i="5"/>
  <c r="E28" i="5" s="1"/>
  <c r="AI18" i="5"/>
  <c r="E18" i="5" s="1"/>
  <c r="C9" i="5"/>
  <c r="E9" i="5" s="1"/>
  <c r="E13" i="6"/>
  <c r="AE27" i="7"/>
  <c r="B27" i="7" s="1"/>
  <c r="D27" i="7" s="1"/>
  <c r="B26" i="7"/>
  <c r="D26" i="7" s="1"/>
  <c r="A15" i="6"/>
  <c r="D15" i="6" s="1"/>
  <c r="C14" i="6"/>
  <c r="A16" i="6" l="1"/>
  <c r="A17" i="6" s="1"/>
  <c r="D17" i="6" s="1"/>
  <c r="C15" i="6"/>
  <c r="E15" i="6" l="1"/>
  <c r="C17" i="6"/>
  <c r="A18" i="6"/>
  <c r="A19" i="6" s="1"/>
  <c r="A20" i="6" l="1"/>
  <c r="D19" i="6"/>
  <c r="C19" i="6"/>
  <c r="E19" i="6" l="1"/>
  <c r="D20" i="6"/>
  <c r="C20" i="6"/>
  <c r="A21" i="6"/>
  <c r="A22" i="6" l="1"/>
  <c r="D21" i="6"/>
  <c r="C21" i="6"/>
  <c r="E20" i="6"/>
  <c r="E21" i="6" l="1"/>
  <c r="C22" i="6"/>
  <c r="D22" i="6"/>
  <c r="A23" i="6"/>
  <c r="E22" i="6" l="1"/>
  <c r="A24" i="6"/>
  <c r="D23" i="6"/>
  <c r="E17" i="6" s="1"/>
  <c r="C23" i="6"/>
  <c r="E23" i="6" l="1"/>
  <c r="A25" i="6"/>
  <c r="C24" i="6"/>
  <c r="D24" i="6"/>
  <c r="C25" i="6" l="1"/>
  <c r="A26" i="6"/>
  <c r="D25" i="6"/>
  <c r="E25" i="6" l="1"/>
  <c r="C26" i="6"/>
  <c r="A27" i="6"/>
  <c r="D26" i="6"/>
  <c r="C27" i="6" l="1"/>
  <c r="D27" i="6"/>
  <c r="A28" i="6"/>
  <c r="C28" i="6" l="1"/>
  <c r="A29" i="6"/>
  <c r="D29" i="6" l="1"/>
  <c r="C29" i="6"/>
  <c r="AK17" i="2" l="1"/>
  <c r="AK25" i="2" s="1"/>
  <c r="AK31" i="2" s="1"/>
</calcChain>
</file>

<file path=xl/sharedStrings.xml><?xml version="1.0" encoding="utf-8"?>
<sst xmlns="http://schemas.openxmlformats.org/spreadsheetml/2006/main" count="860" uniqueCount="149">
  <si>
    <t>CHILE</t>
  </si>
  <si>
    <t>PHYSICAL SALES</t>
  </si>
  <si>
    <t>1Q21</t>
  </si>
  <si>
    <t>1Q22</t>
  </si>
  <si>
    <t>Var (%)</t>
  </si>
  <si>
    <t>Physical Sales</t>
  </si>
  <si>
    <t>1Q14</t>
  </si>
  <si>
    <t>2Q14</t>
  </si>
  <si>
    <t>3Q14</t>
  </si>
  <si>
    <t>4Q14</t>
  </si>
  <si>
    <t>1Q15</t>
  </si>
  <si>
    <t>2Q15</t>
  </si>
  <si>
    <t>3Q15</t>
  </si>
  <si>
    <t>4Q15</t>
  </si>
  <si>
    <t>1Q16</t>
  </si>
  <si>
    <t>2Q16</t>
  </si>
  <si>
    <t>3Q16</t>
  </si>
  <si>
    <t>4Q16</t>
  </si>
  <si>
    <t>1Q17</t>
  </si>
  <si>
    <t>2Q17</t>
  </si>
  <si>
    <t>3Q17</t>
  </si>
  <si>
    <t>4Q17</t>
  </si>
  <si>
    <t>1Q18</t>
  </si>
  <si>
    <t>2Q18</t>
  </si>
  <si>
    <t>3Q18</t>
  </si>
  <si>
    <t>4Q18</t>
  </si>
  <si>
    <t>1Q19</t>
  </si>
  <si>
    <t>2Q19</t>
  </si>
  <si>
    <t>3Q19</t>
  </si>
  <si>
    <t>4Q19</t>
  </si>
  <si>
    <t>1Q20</t>
  </si>
  <si>
    <t>2Q20</t>
  </si>
  <si>
    <t>3Q20</t>
  </si>
  <si>
    <t>4Q20</t>
  </si>
  <si>
    <t>2Q21</t>
  </si>
  <si>
    <t>3Q21</t>
  </si>
  <si>
    <t>4Q21</t>
  </si>
  <si>
    <t>(GWh)</t>
  </si>
  <si>
    <t>Total Physical Sales</t>
  </si>
  <si>
    <t>Regulated Customers</t>
  </si>
  <si>
    <t>Unregulated Customers</t>
  </si>
  <si>
    <t>Sales to the Spot Market</t>
  </si>
  <si>
    <t>Capacity Sales</t>
  </si>
  <si>
    <t>Total Generation</t>
  </si>
  <si>
    <t>Hydraulic</t>
  </si>
  <si>
    <t>Thermal</t>
  </si>
  <si>
    <t xml:space="preserve">    Gas</t>
  </si>
  <si>
    <t xml:space="preserve">    Diesel</t>
  </si>
  <si>
    <t xml:space="preserve">    Coal</t>
  </si>
  <si>
    <t>REVS (*)</t>
  </si>
  <si>
    <t>-</t>
  </si>
  <si>
    <t>REVS(*)</t>
  </si>
  <si>
    <t xml:space="preserve">    Wind Farm(*)</t>
  </si>
  <si>
    <t xml:space="preserve">    Wind Farm</t>
  </si>
  <si>
    <t xml:space="preserve">    Solar</t>
  </si>
  <si>
    <t>Spot Market Purchases</t>
  </si>
  <si>
    <t>Sales - Purchases to the Spot Market</t>
  </si>
  <si>
    <t>PERÚ</t>
  </si>
  <si>
    <t>Customers Under Contract</t>
  </si>
  <si>
    <t>Thermoelectric - Gas</t>
  </si>
  <si>
    <t>(*) Corresponds to the energy purchased from the Punta Palmeras wind farm and from Santa Isabel by Total Sun Power</t>
  </si>
  <si>
    <t>CONSOLIDATED</t>
  </si>
  <si>
    <t xml:space="preserve">COMPREHENSIVE INCOME STATEMENT </t>
  </si>
  <si>
    <t xml:space="preserve">2Q19 </t>
  </si>
  <si>
    <t>US$ million</t>
  </si>
  <si>
    <t>Operating Income</t>
  </si>
  <si>
    <t>Sales</t>
  </si>
  <si>
    <t>Other Operating Income</t>
  </si>
  <si>
    <t>Raw Material and Consumables Used</t>
  </si>
  <si>
    <t>Transmission Tolls</t>
  </si>
  <si>
    <t>Energy and Capacity Purchases</t>
  </si>
  <si>
    <t>Gas Consumption</t>
  </si>
  <si>
    <t>Diesel Consumption</t>
  </si>
  <si>
    <t>Coal Consumption</t>
  </si>
  <si>
    <t>Other Operating  Expenses</t>
  </si>
  <si>
    <t>Gross Profit</t>
  </si>
  <si>
    <t>Personnel Expenses</t>
  </si>
  <si>
    <t>Other Expenses, by Nature</t>
  </si>
  <si>
    <t>Depreciation and Amortization Expenses</t>
  </si>
  <si>
    <t>Operating Income (Loss)</t>
  </si>
  <si>
    <t>EBITDA</t>
  </si>
  <si>
    <t>Financial Income</t>
  </si>
  <si>
    <t>Financial Expenses</t>
  </si>
  <si>
    <t>Exchange rate Differences</t>
  </si>
  <si>
    <t>Profit (Loss) of Companies Accounted for Using the Equity Method</t>
  </si>
  <si>
    <t>Other Profit (Loss)</t>
  </si>
  <si>
    <t>Non-Operating Income</t>
  </si>
  <si>
    <t>Profit (Loss) Before Taxes</t>
  </si>
  <si>
    <t>Income Tax Expense</t>
  </si>
  <si>
    <t>Profit (Loss) After Tax</t>
  </si>
  <si>
    <t>Profit (Loss) Controller</t>
  </si>
  <si>
    <t>Profit (Loss) Atributtable to Minority Interest</t>
  </si>
  <si>
    <t xml:space="preserve">(*): The subtotal shown in “OPERATING INCOME” presented herein, differs from the “Profit (loss) from operating activities” line presented in the Financial Statements. This is explained by a change in taxonomy dictated by the CMF (Financial Market Commission), by means of which the concept of “Other Profit (loss)”, which in the case of Colbún are only non-operating items, was incorporated as an operating item in the Financial Statements. </t>
  </si>
  <si>
    <t xml:space="preserve">CHILE </t>
  </si>
  <si>
    <t>OPERATING INCOME</t>
  </si>
  <si>
    <t>VAR %</t>
  </si>
  <si>
    <t>Regulated Customers Sales</t>
  </si>
  <si>
    <t>Nonregulated Customers Sales</t>
  </si>
  <si>
    <t>Energy and Capacity Sales</t>
  </si>
  <si>
    <t>RAW MATERIALS AND CONSUMABLES USED</t>
  </si>
  <si>
    <t>Other Operating Expenses</t>
  </si>
  <si>
    <t>GROSS PROFIT</t>
  </si>
  <si>
    <t>Other Expenses, by nature</t>
  </si>
  <si>
    <t>OPERATING INCOME (LOSS)</t>
  </si>
  <si>
    <t>On September 30, Colbún executed the sale of its subsidiary Colbún Transmission S.A. to Alfa Desarrollo SpA, controlled 80% by APG Energy and Infra Investments and 20% by Celeo Redes. The energy transmission infrastructure sold corresponds to 899 km of transmission lines divided into 335 km of lines belonging to the National segment, 70 km belonging to the Zonal segment and 494 km belonging to the Dedicated segment. Additionally, Colbún Transmission S.A. owns 27 substations. Given this, results from Chile includes only the generation business from 4Q21 onwards.</t>
  </si>
  <si>
    <t>ENERGY SALES</t>
  </si>
  <si>
    <t xml:space="preserve">3Q19 </t>
  </si>
  <si>
    <t xml:space="preserve">4Q19 </t>
  </si>
  <si>
    <t>Sales to Other Generators</t>
  </si>
  <si>
    <t>(*): The subtotal shown in “OPERATING INCOME” presented herein, differs from the “Profit (loss) from operating activities” line presented in the Financial Statements. This is explained by a change in taxonomy dictated by the CMF (Financial Market Commission), by means of which the concept of “Other Profit (loss)”, which in the case of Colbún are only non-operating items, was incorporated as an operating item in the Financial Statements.</t>
  </si>
  <si>
    <t>NON-OPERATING INCOME</t>
  </si>
  <si>
    <t>(*) Regarding Fenix’s Financial Statements, for the second quarter of 2019 the following is worth to mention: 
(1) As of June 2019, a reclassification of toll’s revenues and costs was made at Fenix subsidiary level in Peru, presenting the net effect of these items. Prior to that date, income and costs were presented separately in the Income Statement. For comparative purposes, the same reclassification was made in the 1Q19’s figures presented in this file.                                                                                                                                                                                                                                                                                                                                           (2)As of June 2019, the gas contract with Calidda, in Peru, began to be recognized as a financial lease, due to the entry into force of IFRS16 accounting regulations. It should be noted that, on that date, the accounting impacts were recorded retroactively for the year 2019. For comparative purposes, the same classification was made in the 1Q19 figures presented in this file. More detail in the Appendix at the end of the Earnings Report</t>
  </si>
  <si>
    <t>BALANCE SHEET (MAIN ACCOUNTS)</t>
  </si>
  <si>
    <t>Current assets</t>
  </si>
  <si>
    <t>Non-current assets</t>
  </si>
  <si>
    <t>TOTAL ASSETS</t>
  </si>
  <si>
    <t xml:space="preserve">Current liabilities </t>
  </si>
  <si>
    <t>Non-current liabilities</t>
  </si>
  <si>
    <t>Total equity</t>
  </si>
  <si>
    <t>TOTAL LIABILITIES AND NET EQUITY</t>
  </si>
  <si>
    <t xml:space="preserve">Non-current liabilities </t>
  </si>
  <si>
    <t xml:space="preserve">Total net equity </t>
  </si>
  <si>
    <t>MAIN DEBT ITEMS</t>
  </si>
  <si>
    <t>Gross Financial Debt</t>
  </si>
  <si>
    <t>Gross Financial Debt*</t>
  </si>
  <si>
    <t>Financial Investments</t>
  </si>
  <si>
    <t>Net Debt</t>
  </si>
  <si>
    <t>EBITDA LTM</t>
  </si>
  <si>
    <t>Net Debt/EBITDA LTM (x)</t>
  </si>
  <si>
    <t>* Includes capitalised expenses.</t>
  </si>
  <si>
    <t>(*) The account “Financial Investments” presented includes the amount associated to time deposits that, by having an investment term of more than 90 days, are recorded as “Other Current Financial Assets” in the Financial Statements.</t>
  </si>
  <si>
    <t>AMORTIZATION PROFILE (*)</t>
  </si>
  <si>
    <t xml:space="preserve">Colbun </t>
  </si>
  <si>
    <t xml:space="preserve">Fenix </t>
  </si>
  <si>
    <t>(*) Leasings, accrued interests and activated expenses are not included.</t>
  </si>
  <si>
    <t>CASH FLOW</t>
  </si>
  <si>
    <t>Cash Equivalents, Beg. of Period*</t>
  </si>
  <si>
    <t xml:space="preserve">Cash Equivalents, Beg. of Period </t>
  </si>
  <si>
    <t xml:space="preserve">Net cash flows provided by (used in) operating activities </t>
  </si>
  <si>
    <t>Net cash flows provided by (used in) financing activities</t>
  </si>
  <si>
    <t xml:space="preserve">Net cash flows provided by (used in) financing activities </t>
  </si>
  <si>
    <t>Net cash flows provided by (used in) investing activities**</t>
  </si>
  <si>
    <t>Net cash flows provided by (used in) investing activities</t>
  </si>
  <si>
    <t>Net Cash Flows for the Period</t>
  </si>
  <si>
    <t>Effects of exchange rate changes on cash and cash equivalents</t>
  </si>
  <si>
    <t xml:space="preserve">Cash Equivalents, End of Period </t>
  </si>
  <si>
    <t>Net cash flows provided by (used in) financing activities**</t>
  </si>
  <si>
    <t>(*) The account “Cash and Cash Equivalents” presented includes the amount associated to time deposits that, by having an investment term of more than 90 days, are recorded as “Other Current Financial Assets” in the Financial Statements.
(**) "Cash Flow from Investing Activities" differs from the Financial Statements since it does not incorporate the amount associated with deposits with maturity over 90 days.</t>
  </si>
  <si>
    <t>2Q22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</si>
</sst>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1">
    <numFmt numFmtId="41" formatCode="_ * #,##0_ ;_ * \-#,##0_ ;_ * &quot;-&quot;_ ;_ @_ "/>
    <numFmt numFmtId="43" formatCode="_ * #,##0.00_ ;_ * \-#,##0.00_ ;_ * &quot;-&quot;??_ ;_ @_ "/>
    <numFmt numFmtId="164" formatCode="_-* #,##0.00_-;\-* #,##0.00_-;_-* &quot;-&quot;??_-;_-@_-"/>
    <numFmt numFmtId="165" formatCode="_(* #,##0.00_);_(* \(#,##0.00\);_(* &quot;-&quot;??_);_(@_)"/>
    <numFmt numFmtId="166" formatCode="0.0"/>
    <numFmt numFmtId="167" formatCode="_(* #,##0.0_);_(* \(#,##0.0\);_(* &quot;-&quot;??_);_(@_)"/>
    <numFmt numFmtId="168" formatCode="_ * #,##0.0_ ;_ * \-#,##0.0_ ;_ * &quot;-&quot;_ ;_ @_ "/>
    <numFmt numFmtId="169" formatCode="_(* #,##0_);_(* \(#,##0\);_(* &quot;-&quot;??_);_(@_)"/>
    <numFmt numFmtId="170" formatCode="0%_);\(0%\)"/>
    <numFmt numFmtId="171" formatCode="0.000"/>
    <numFmt numFmtId="172" formatCode="_ * #,##0.0_ ;_ * \-#,##0.0_ ;_ * &quot;-&quot;?_ ;_ @_ "/>
    <numFmt numFmtId="173" formatCode="\-"/>
    <numFmt numFmtId="174" formatCode="_-[$€-2]\ * #,##0.00_-;\-[$€-2]\ * #,##0.00_-;_-[$€-2]\ * &quot;-&quot;??_-"/>
    <numFmt numFmtId="175" formatCode="#,##0.0"/>
    <numFmt numFmtId="176" formatCode="_-* #,##0.0_-;\-* #,##0.0_-;_-* &quot;-&quot;?_-;_-@_-"/>
    <numFmt numFmtId="177" formatCode="_-* #,##0_-;\-* #,##0_-;_-* &quot;-&quot;??_-;_-@_-"/>
    <numFmt numFmtId="178" formatCode="_-* #,##0_-;\-* #,##0_-;_-* &quot;-&quot;_-;_-@_-"/>
    <numFmt numFmtId="179" formatCode="&quot;$&quot;\ #,##0.00;[Red]\-&quot;$&quot;\ #,##0.00"/>
    <numFmt numFmtId="180" formatCode="General_)"/>
    <numFmt numFmtId="181" formatCode="#,##0_);\(#,##0\);&quot;-       &quot;"/>
    <numFmt numFmtId="182" formatCode="0.000_)"/>
    <numFmt numFmtId="183" formatCode="#,##0_)_%;\(#,##0\)_%;"/>
    <numFmt numFmtId="184" formatCode="_._.* #,##0.0_)_%;_._.* \(#,##0.0\)_%;_._.* \ .0_)_%"/>
    <numFmt numFmtId="185" formatCode="#,##0.0_)_%;\(#,##0.0\)_%;\ \ .0_)_%"/>
    <numFmt numFmtId="186" formatCode="_._.* #,##0.0_)_%;_._.* \(#,##0.0\)_%"/>
    <numFmt numFmtId="187" formatCode="#,##0.00_)_%;\(#,##0.00\)_%;\ \ .00_)_%"/>
    <numFmt numFmtId="188" formatCode="_._.* #,##0.00_)_%;_._.* \(#,##0.00\)_%"/>
    <numFmt numFmtId="189" formatCode="_._.* #,##0.000_)_%;_._.* \(#,##0.000\)_%;_._.* \ .000_)_%"/>
    <numFmt numFmtId="190" formatCode="#,##0.000_)_%;\(#,##0.000\)_%;\ \ .000_)_%"/>
    <numFmt numFmtId="191" formatCode="_._.* #,##0.000_)_%;_._.* \(#,##0.000\)_%"/>
    <numFmt numFmtId="192" formatCode="mmmm\ d\,\ yyyy"/>
    <numFmt numFmtId="193" formatCode="_ * #,##0_ ;_ * \-#,##0_ ;_ * &quot;-&quot;??_ ;_ @_ "/>
    <numFmt numFmtId="194" formatCode="#,##0.0000_);\(#,##0.0000\);&quot;-            &quot;"/>
    <numFmt numFmtId="195" formatCode="0.00000000000"/>
    <numFmt numFmtId="196" formatCode="_._.* \(#,##0\)_%;_._.* #,##0_)_%;_._.* 0_)_%;_._.@_)_%"/>
    <numFmt numFmtId="197" formatCode="_._.&quot;$&quot;* \(#,##0\)_%;_._.&quot;$&quot;* #,##0_)_%;_._.&quot;$&quot;* 0_)_%;_._.@_)_%"/>
    <numFmt numFmtId="198" formatCode="* \(#,##0\);* #,##0_);&quot;-&quot;??_);@"/>
    <numFmt numFmtId="199" formatCode="&quot;$&quot;* #,##0_)_%;&quot;$&quot;* \(#,##0\)_%;&quot;$&quot;* &quot;-&quot;??_)_%;@_)_%"/>
    <numFmt numFmtId="200" formatCode="_._.&quot;$&quot;* #,##0.0_)_%;_._.&quot;$&quot;* \(#,##0.0\)_%;_._.&quot;$&quot;* \ .0_)_%"/>
    <numFmt numFmtId="201" formatCode="&quot;$&quot;* #,##0.0_)_%;&quot;$&quot;* \(#,##0.0\)_%;&quot;$&quot;* \ .0_)_%"/>
    <numFmt numFmtId="202" formatCode="_._.&quot;$&quot;* #,##0.0_)_%;_._.&quot;$&quot;* \(#,##0.0\)_%"/>
    <numFmt numFmtId="203" formatCode="&quot;$&quot;* #,##0.00_);&quot;$&quot;* \(#,##0.00\)"/>
    <numFmt numFmtId="204" formatCode="&quot;$&quot;* #,##0.00_)_%;&quot;$&quot;* \(#,##0.00\)_%;&quot;$&quot;* \ .00_)_%"/>
    <numFmt numFmtId="205" formatCode="_._.&quot;$&quot;* #,##0.00_)_%;_._.&quot;$&quot;* \(#,##0.00\)_%"/>
    <numFmt numFmtId="206" formatCode="_._.&quot;$&quot;* #,##0.000_)_%;_._.&quot;$&quot;* \(#,##0.000\)_%;_._.&quot;$&quot;* \ .000_)_%"/>
    <numFmt numFmtId="207" formatCode="&quot;$&quot;* #,##0.000_)_%;&quot;$&quot;* \(#,##0.000\)_%;&quot;$&quot;* \ .000_)_%"/>
    <numFmt numFmtId="208" formatCode="_._.&quot;$&quot;* #,##0.000_)_%;_._.&quot;$&quot;* \(#,##0.000\)_%"/>
    <numFmt numFmtId="209" formatCode="&quot;$&quot;#,##0\ ;\(&quot;$&quot;#,##0\)"/>
    <numFmt numFmtId="210" formatCode="* #,##0_);* \(#,##0\);&quot;-&quot;??_);@"/>
    <numFmt numFmtId="211" formatCode="&quot;$&quot;#,##0"/>
    <numFmt numFmtId="212" formatCode="#."/>
    <numFmt numFmtId="213" formatCode="_ [$€-2]\ * #,##0.00_ ;_ [$€-2]\ * \-#,##0.00_ ;_ [$€-2]\ * &quot;-&quot;??_ "/>
    <numFmt numFmtId="214" formatCode="\ "/>
    <numFmt numFmtId="215" formatCode="#,##0\ &quot;pta&quot;;\-#,##0\ &quot;pta&quot;"/>
    <numFmt numFmtId="216" formatCode="\$#.00"/>
    <numFmt numFmtId="217" formatCode="0.00_)"/>
    <numFmt numFmtId="218" formatCode="_(0_)%;\(0\)%;\ \ _)\%"/>
    <numFmt numFmtId="219" formatCode="_._._(* 0_)%;_._.\(* 0\)%;_._._(* \ _)\%"/>
    <numFmt numFmtId="220" formatCode="0_)%;\(0\)%"/>
    <numFmt numFmtId="221" formatCode="_(0.0_)%;\(0.0\)%;\ \ .0_)%"/>
    <numFmt numFmtId="222" formatCode="_._._(* 0.0_)%;_._.\(* 0.0\)%;_._._(* \ .0_)%"/>
    <numFmt numFmtId="223" formatCode="_(0.0_)%;\(0.0\)%"/>
    <numFmt numFmtId="224" formatCode="_(0.00_)%;\(0.00\)%;\ \ .00_)%"/>
    <numFmt numFmtId="225" formatCode="_._._(* 0.00_)%;_._.\(* 0.00\)%;_._._(* \ .00_)%"/>
    <numFmt numFmtId="226" formatCode="_(0.00_)%;\(0.00\)%"/>
    <numFmt numFmtId="227" formatCode="_(0.000_)%;\(0.000\)%;\ \ .000_)%"/>
    <numFmt numFmtId="228" formatCode="_._._(* 0.000_)%;_._.\(* 0.000\)%;_._._(* \ .000_)%"/>
    <numFmt numFmtId="229" formatCode="_(0.000_)%;\(0.000\)%"/>
    <numFmt numFmtId="230" formatCode="%#.00"/>
    <numFmt numFmtId="231" formatCode="_-&quot;$&quot;* #,##0_-;\-&quot;$&quot;* #,##0_-;_-&quot;$&quot;* &quot;-&quot;_-;_-@_-"/>
    <numFmt numFmtId="232" formatCode="_-&quot;$&quot;* #,##0.00_-;\-&quot;$&quot;* #,##0.00_-;_-&quot;$&quot;* &quot;-&quot;??_-;_-@_-"/>
    <numFmt numFmtId="233" formatCode="_-* #,##0\ &quot;Pts&quot;_-;\-* #,##0\ &quot;Pts&quot;_-;_-* &quot;-&quot;\ &quot;Pts&quot;_-;_-@_-"/>
    <numFmt numFmtId="234" formatCode="_-* #,##0.00\ &quot;Pts&quot;_-;\-* #,##0.00\ &quot;Pts&quot;_-;_-* &quot;-&quot;??\ &quot;Pts&quot;_-;_-@_-"/>
    <numFmt numFmtId="235" formatCode="_(* #,##0_);_(* \(#,##0\);_(* \ _)"/>
    <numFmt numFmtId="236" formatCode="_(* #,##0.0_);_(* \(#,##0.0\);_(* \ .0_)"/>
    <numFmt numFmtId="237" formatCode="_(* #,##0.00_);_(* \(#,##0.00\);_(* \ .00_)"/>
    <numFmt numFmtId="238" formatCode="_(* #,##0.000_);_(* \(#,##0.000\);_(* \ .000_)"/>
    <numFmt numFmtId="239" formatCode="_(&quot;$&quot;* #,##0_);_(&quot;$&quot;* \(#,##0\);_(&quot;$&quot;* \ _)"/>
    <numFmt numFmtId="240" formatCode="_(&quot;$&quot;* #,##0.0_);_(&quot;$&quot;* \(#,##0.0\);_(&quot;$&quot;* \ .0_)"/>
    <numFmt numFmtId="241" formatCode="_(&quot;$&quot;* #,##0.00_);_(&quot;$&quot;* \(#,##0.00\);_(&quot;$&quot;* \ .00_)"/>
    <numFmt numFmtId="242" formatCode="_(&quot;$&quot;* #,##0.000_);_(&quot;$&quot;* \(#,##0.000\);_(&quot;$&quot;* \ .000_)"/>
  </numFmts>
  <fonts count="80">
    <font>
      <sz val="11"/>
      <color theme="1"/>
      <name val="Calibri"/>
      <family val="2"/>
      <scheme val="minor"/>
    </font>
    <font>
      <sz val="11"/>
      <color theme="1"/>
      <name val="Calibri"/>
      <family val="2"/>
      <scheme val="minor"/>
    </font>
    <font>
      <sz val="10"/>
      <color theme="1" tint="0.34998626667073579"/>
      <name val="Trebuchet MS"/>
      <family val="2"/>
    </font>
    <font>
      <sz val="8"/>
      <color theme="1"/>
      <name val="Arial"/>
      <family val="2"/>
    </font>
    <font>
      <b/>
      <sz val="10"/>
      <color theme="0"/>
      <name val="Trebuchet MS"/>
      <family val="2"/>
    </font>
    <font>
      <b/>
      <sz val="18"/>
      <color theme="0"/>
      <name val="Calibri"/>
      <family val="2"/>
      <scheme val="minor"/>
    </font>
    <font>
      <b/>
      <sz val="10"/>
      <color theme="1" tint="0.34998626667073579"/>
      <name val="Trebuchet MS"/>
      <family val="2"/>
    </font>
    <font>
      <sz val="12"/>
      <name val="Times New Roman"/>
      <family val="1"/>
    </font>
    <font>
      <sz val="10"/>
      <name val="Arial"/>
      <family val="2"/>
    </font>
    <font>
      <sz val="10"/>
      <color theme="1"/>
      <name val="Trebuchet MS"/>
      <family val="2"/>
    </font>
    <font>
      <sz val="10"/>
      <color theme="0" tint="-0.249977111117893"/>
      <name val="Trebuchet MS"/>
      <family val="2"/>
    </font>
    <font>
      <sz val="11"/>
      <color theme="1" tint="0.34998626667073579"/>
      <name val="Trebuchet MS"/>
      <family val="2"/>
    </font>
    <font>
      <sz val="9"/>
      <color theme="1" tint="0.34998626667073579"/>
      <name val="Trebuchet MS"/>
      <family val="2"/>
    </font>
    <font>
      <sz val="11"/>
      <color indexed="8"/>
      <name val="Calibri"/>
      <family val="2"/>
    </font>
    <font>
      <sz val="8"/>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8"/>
      <color theme="3"/>
      <name val="Calibri Light"/>
      <family val="2"/>
      <scheme val="major"/>
    </font>
    <font>
      <sz val="11"/>
      <color rgb="FF9C6500"/>
      <name val="Calibri"/>
      <family val="2"/>
      <scheme val="minor"/>
    </font>
    <font>
      <sz val="11"/>
      <color indexed="9"/>
      <name val="Czcionka tekstu podstawowego"/>
      <family val="2"/>
      <charset val="238"/>
    </font>
    <font>
      <b/>
      <sz val="10"/>
      <name val="Verdana"/>
      <family val="2"/>
    </font>
    <font>
      <sz val="10"/>
      <name val="Courier"/>
      <family val="3"/>
    </font>
    <font>
      <sz val="11"/>
      <color indexed="9"/>
      <name val="Calibri"/>
      <family val="2"/>
    </font>
    <font>
      <sz val="11"/>
      <color indexed="20"/>
      <name val="Calibri"/>
      <family val="2"/>
    </font>
    <font>
      <b/>
      <sz val="18"/>
      <name val="Helv"/>
    </font>
    <font>
      <b/>
      <sz val="18"/>
      <color indexed="22"/>
      <name val="Arial"/>
      <family val="2"/>
    </font>
    <font>
      <b/>
      <sz val="12"/>
      <color indexed="22"/>
      <name val="Arial"/>
      <family val="2"/>
    </font>
    <font>
      <b/>
      <sz val="11"/>
      <color indexed="52"/>
      <name val="Calibri"/>
      <family val="2"/>
    </font>
    <font>
      <b/>
      <sz val="10"/>
      <name val="Arial"/>
      <family val="2"/>
    </font>
    <font>
      <b/>
      <sz val="11"/>
      <name val="Arial"/>
      <family val="2"/>
    </font>
    <font>
      <b/>
      <sz val="11"/>
      <color indexed="9"/>
      <name val="Calibri"/>
      <family val="2"/>
    </font>
    <font>
      <b/>
      <sz val="8"/>
      <name val="Arial"/>
      <family val="2"/>
    </font>
    <font>
      <sz val="11"/>
      <name val="Tms Rmn"/>
      <family val="1"/>
    </font>
    <font>
      <sz val="11"/>
      <name val="Times New Roman"/>
      <family val="1"/>
    </font>
    <font>
      <sz val="9"/>
      <name val="Arial"/>
      <family val="2"/>
    </font>
    <font>
      <sz val="11"/>
      <name val="New Times Roman"/>
    </font>
    <font>
      <u val="singleAccounting"/>
      <sz val="11"/>
      <name val="Times New Roman"/>
      <family val="1"/>
    </font>
    <font>
      <sz val="10"/>
      <name val="Times New Roman"/>
      <family val="1"/>
    </font>
    <font>
      <sz val="10"/>
      <color indexed="22"/>
      <name val="Arial"/>
      <family val="2"/>
    </font>
    <font>
      <b/>
      <sz val="14"/>
      <name val="Arial"/>
      <family val="2"/>
    </font>
    <font>
      <sz val="11"/>
      <color indexed="12"/>
      <name val="Times New Roman"/>
      <family val="1"/>
    </font>
    <font>
      <sz val="1"/>
      <color indexed="8"/>
      <name val="Courier"/>
      <family val="3"/>
    </font>
    <font>
      <b/>
      <sz val="1"/>
      <color indexed="8"/>
      <name val="Courier"/>
      <family val="3"/>
    </font>
    <font>
      <b/>
      <sz val="12"/>
      <name val="Arial"/>
      <family val="2"/>
    </font>
    <font>
      <i/>
      <sz val="11"/>
      <color indexed="23"/>
      <name val="Calibri"/>
      <family val="2"/>
    </font>
    <font>
      <sz val="11"/>
      <color indexed="17"/>
      <name val="Calibri"/>
      <family val="2"/>
    </font>
    <font>
      <sz val="8"/>
      <name val="Arial"/>
      <family val="2"/>
    </font>
    <font>
      <b/>
      <sz val="12"/>
      <name val="Verdana"/>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2"/>
      <name val="Helv"/>
    </font>
    <font>
      <sz val="11"/>
      <color indexed="52"/>
      <name val="Calibri"/>
      <family val="2"/>
    </font>
    <font>
      <sz val="8"/>
      <color indexed="18"/>
      <name val="Verdana"/>
      <family val="2"/>
    </font>
    <font>
      <sz val="8"/>
      <name val="Verdana"/>
      <family val="2"/>
    </font>
    <font>
      <b/>
      <i/>
      <sz val="16"/>
      <name val="Helv"/>
    </font>
    <font>
      <b/>
      <sz val="11"/>
      <color indexed="63"/>
      <name val="Calibri"/>
      <family val="2"/>
    </font>
    <font>
      <sz val="10"/>
      <name val="Helv"/>
    </font>
    <font>
      <sz val="18"/>
      <color indexed="8"/>
      <name val="Tms Rmn"/>
    </font>
    <font>
      <sz val="10"/>
      <name val="MS Sans Serif"/>
      <family val="2"/>
    </font>
    <font>
      <b/>
      <sz val="10"/>
      <name val="MS Sans Serif"/>
      <family val="2"/>
    </font>
    <font>
      <sz val="9"/>
      <name val="Helv"/>
    </font>
    <font>
      <b/>
      <sz val="10"/>
      <color indexed="10"/>
      <name val="Arial"/>
      <family val="2"/>
    </font>
    <font>
      <b/>
      <sz val="18"/>
      <color indexed="56"/>
      <name val="Cambria"/>
      <family val="2"/>
    </font>
    <font>
      <sz val="11"/>
      <color indexed="10"/>
      <name val="Calibri"/>
      <family val="2"/>
    </font>
  </fonts>
  <fills count="65">
    <fill>
      <patternFill patternType="none"/>
    </fill>
    <fill>
      <patternFill patternType="gray125"/>
    </fill>
    <fill>
      <patternFill patternType="solid">
        <fgColor theme="0"/>
        <bgColor indexed="64"/>
      </patternFill>
    </fill>
    <fill>
      <patternFill patternType="solid">
        <fgColor theme="0" tint="-0.249977111117893"/>
        <bgColor indexed="64"/>
      </patternFill>
    </fill>
    <fill>
      <patternFill patternType="solid">
        <fgColor theme="3"/>
        <bgColor indexed="64"/>
      </patternFill>
    </fill>
    <fill>
      <patternFill patternType="solid">
        <fgColor theme="4"/>
        <bgColor indexed="64"/>
      </patternFill>
    </fill>
    <fill>
      <patternFill patternType="solid">
        <fgColor rgb="FF00B050"/>
        <bgColor indexed="64"/>
      </patternFill>
    </fill>
    <fill>
      <patternFill patternType="solid">
        <fgColor theme="0" tint="-4.9989318521683403E-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0"/>
      </patternFill>
    </fill>
    <fill>
      <patternFill patternType="solid">
        <fgColor indexed="9"/>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2"/>
        <bgColor indexed="64"/>
      </patternFill>
    </fill>
    <fill>
      <patternFill patternType="solid">
        <fgColor indexed="27"/>
        <bgColor indexed="64"/>
      </patternFill>
    </fill>
    <fill>
      <patternFill patternType="solid">
        <fgColor indexed="26"/>
        <bgColor indexed="64"/>
      </patternFill>
    </fill>
    <fill>
      <patternFill patternType="solid">
        <fgColor indexed="26"/>
      </patternFill>
    </fill>
    <fill>
      <patternFill patternType="mediumGray">
        <fgColor indexed="22"/>
      </patternFill>
    </fill>
  </fills>
  <borders count="27">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medium">
        <color indexed="64"/>
      </top>
      <bottom style="medium">
        <color indexed="64"/>
      </bottom>
      <diagonal/>
    </border>
    <border>
      <left/>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thin">
        <color indexed="64"/>
      </top>
      <bottom/>
      <diagonal/>
    </border>
    <border>
      <left/>
      <right/>
      <top style="thin">
        <color indexed="64"/>
      </top>
      <bottom style="double">
        <color indexed="64"/>
      </bottom>
      <diagonal/>
    </border>
    <border>
      <left/>
      <right/>
      <top/>
      <bottom style="medium">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double">
        <color indexed="21"/>
      </top>
      <bottom/>
      <diagonal/>
    </border>
  </borders>
  <cellStyleXfs count="4393">
    <xf numFmtId="0" fontId="0" fillId="0" borderId="0"/>
    <xf numFmtId="41" fontId="1" fillId="0" borderId="0" applyFont="0" applyFill="0" applyBorder="0" applyAlignment="0" applyProtection="0"/>
    <xf numFmtId="9" fontId="1" fillId="0" borderId="0" applyFont="0" applyFill="0" applyBorder="0" applyAlignment="0" applyProtection="0"/>
    <xf numFmtId="0" fontId="3" fillId="0" borderId="0"/>
    <xf numFmtId="164" fontId="8" fillId="0" borderId="0" applyFont="0" applyFill="0" applyBorder="0" applyAlignment="0" applyProtection="0"/>
    <xf numFmtId="164" fontId="1" fillId="0" borderId="0" applyFont="0" applyFill="0" applyBorder="0" applyAlignment="0" applyProtection="0"/>
    <xf numFmtId="169" fontId="7" fillId="0" borderId="0" applyFont="0" applyFill="0" applyBorder="0" applyAlignment="0" applyProtection="0"/>
    <xf numFmtId="0" fontId="8" fillId="0" borderId="0"/>
    <xf numFmtId="164" fontId="8" fillId="0" borderId="0" applyFont="0" applyFill="0" applyBorder="0" applyAlignment="0" applyProtection="0"/>
    <xf numFmtId="165" fontId="1" fillId="0" borderId="0" applyFont="0" applyFill="0" applyBorder="0" applyAlignment="0" applyProtection="0"/>
    <xf numFmtId="0" fontId="8" fillId="0" borderId="0"/>
    <xf numFmtId="174" fontId="8"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0" fontId="1" fillId="0" borderId="0"/>
    <xf numFmtId="0" fontId="8" fillId="0" borderId="0"/>
    <xf numFmtId="0" fontId="1" fillId="0" borderId="0"/>
    <xf numFmtId="0" fontId="8" fillId="0" borderId="0"/>
    <xf numFmtId="9" fontId="8"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8" fillId="0" borderId="0"/>
    <xf numFmtId="164" fontId="8" fillId="0" borderId="0" applyFont="0" applyFill="0" applyBorder="0" applyAlignment="0" applyProtection="0"/>
    <xf numFmtId="0" fontId="1" fillId="0" borderId="0"/>
    <xf numFmtId="0" fontId="17" fillId="0" borderId="2" applyNumberFormat="0" applyFill="0" applyAlignment="0" applyProtection="0"/>
    <xf numFmtId="0" fontId="18" fillId="0" borderId="3" applyNumberFormat="0" applyFill="0" applyAlignment="0" applyProtection="0"/>
    <xf numFmtId="0" fontId="18" fillId="0" borderId="0" applyNumberFormat="0" applyFill="0" applyBorder="0" applyAlignment="0" applyProtection="0"/>
    <xf numFmtId="0" fontId="19" fillId="8" borderId="0" applyNumberFormat="0" applyBorder="0" applyAlignment="0" applyProtection="0"/>
    <xf numFmtId="0" fontId="20" fillId="9" borderId="0" applyNumberFormat="0" applyBorder="0" applyAlignment="0" applyProtection="0"/>
    <xf numFmtId="0" fontId="22" fillId="11" borderId="4" applyNumberFormat="0" applyAlignment="0" applyProtection="0"/>
    <xf numFmtId="0" fontId="23" fillId="12" borderId="5" applyNumberFormat="0" applyAlignment="0" applyProtection="0"/>
    <xf numFmtId="0" fontId="24" fillId="12" borderId="4" applyNumberFormat="0" applyAlignment="0" applyProtection="0"/>
    <xf numFmtId="0" fontId="25" fillId="0" borderId="6" applyNumberFormat="0" applyFill="0" applyAlignment="0" applyProtection="0"/>
    <xf numFmtId="0" fontId="26" fillId="13" borderId="7" applyNumberFormat="0" applyAlignment="0" applyProtection="0"/>
    <xf numFmtId="0" fontId="27" fillId="0" borderId="0" applyNumberFormat="0" applyFill="0" applyBorder="0" applyAlignment="0" applyProtection="0"/>
    <xf numFmtId="0" fontId="1" fillId="14" borderId="8" applyNumberFormat="0" applyFont="0" applyAlignment="0" applyProtection="0"/>
    <xf numFmtId="0" fontId="28" fillId="0" borderId="0" applyNumberFormat="0" applyFill="0" applyBorder="0" applyAlignment="0" applyProtection="0"/>
    <xf numFmtId="0" fontId="29" fillId="0" borderId="9" applyNumberFormat="0" applyFill="0" applyAlignment="0" applyProtection="0"/>
    <xf numFmtId="0" fontId="30"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30"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30"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30"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30"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30"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31" fillId="0" borderId="0" applyNumberFormat="0" applyFill="0" applyBorder="0" applyAlignment="0" applyProtection="0"/>
    <xf numFmtId="0" fontId="16" fillId="0" borderId="1" applyNumberFormat="0" applyFill="0" applyAlignment="0" applyProtection="0"/>
    <xf numFmtId="0" fontId="32" fillId="10" borderId="0" applyNumberFormat="0" applyBorder="0" applyAlignment="0" applyProtection="0"/>
    <xf numFmtId="0" fontId="30" fillId="18" borderId="0" applyNumberFormat="0" applyBorder="0" applyAlignment="0" applyProtection="0"/>
    <xf numFmtId="0" fontId="30" fillId="22" borderId="0" applyNumberFormat="0" applyBorder="0" applyAlignment="0" applyProtection="0"/>
    <xf numFmtId="0" fontId="30" fillId="26" borderId="0" applyNumberFormat="0" applyBorder="0" applyAlignment="0" applyProtection="0"/>
    <xf numFmtId="0" fontId="30" fillId="30" borderId="0" applyNumberFormat="0" applyBorder="0" applyAlignment="0" applyProtection="0"/>
    <xf numFmtId="0" fontId="30" fillId="34" borderId="0" applyNumberFormat="0" applyBorder="0" applyAlignment="0" applyProtection="0"/>
    <xf numFmtId="0" fontId="30" fillId="38" borderId="0" applyNumberFormat="0" applyBorder="0" applyAlignment="0" applyProtection="0"/>
    <xf numFmtId="0" fontId="33" fillId="39" borderId="0" applyNumberFormat="0" applyBorder="0" applyAlignment="0" applyProtection="0"/>
    <xf numFmtId="0" fontId="7" fillId="0" borderId="0"/>
    <xf numFmtId="0" fontId="8" fillId="0" borderId="0"/>
    <xf numFmtId="0" fontId="35" fillId="0" borderId="0"/>
    <xf numFmtId="0" fontId="13" fillId="41" borderId="0" applyNumberFormat="0" applyBorder="0" applyAlignment="0" applyProtection="0"/>
    <xf numFmtId="0" fontId="13" fillId="41"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36" fillId="39" borderId="0" applyNumberFormat="0" applyBorder="0" applyAlignment="0" applyProtection="0"/>
    <xf numFmtId="0" fontId="36" fillId="39" borderId="0" applyNumberFormat="0" applyBorder="0" applyAlignment="0" applyProtection="0"/>
    <xf numFmtId="0" fontId="36" fillId="48" borderId="0" applyNumberFormat="0" applyBorder="0" applyAlignment="0" applyProtection="0"/>
    <xf numFmtId="0" fontId="36" fillId="48"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51" borderId="0" applyNumberFormat="0" applyBorder="0" applyAlignment="0" applyProtection="0"/>
    <xf numFmtId="0" fontId="36" fillId="51" borderId="0" applyNumberFormat="0" applyBorder="0" applyAlignment="0" applyProtection="0"/>
    <xf numFmtId="0" fontId="36" fillId="52" borderId="0" applyNumberFormat="0" applyBorder="0" applyAlignment="0" applyProtection="0"/>
    <xf numFmtId="0" fontId="36" fillId="52"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5" fillId="0" borderId="0"/>
    <xf numFmtId="0" fontId="36" fillId="54" borderId="0" applyNumberFormat="0" applyBorder="0" applyAlignment="0" applyProtection="0"/>
    <xf numFmtId="0" fontId="36" fillId="54" borderId="0" applyNumberFormat="0" applyBorder="0" applyAlignment="0" applyProtection="0"/>
    <xf numFmtId="0" fontId="36" fillId="55" borderId="0" applyNumberFormat="0" applyBorder="0" applyAlignment="0" applyProtection="0"/>
    <xf numFmtId="0" fontId="36" fillId="55" borderId="0" applyNumberFormat="0" applyBorder="0" applyAlignment="0" applyProtection="0"/>
    <xf numFmtId="0" fontId="36" fillId="56" borderId="0" applyNumberFormat="0" applyBorder="0" applyAlignment="0" applyProtection="0"/>
    <xf numFmtId="0" fontId="36" fillId="56" borderId="0" applyNumberFormat="0" applyBorder="0" applyAlignment="0" applyProtection="0"/>
    <xf numFmtId="0" fontId="36" fillId="51" borderId="0" applyNumberFormat="0" applyBorder="0" applyAlignment="0" applyProtection="0"/>
    <xf numFmtId="0" fontId="36" fillId="51" borderId="0" applyNumberFormat="0" applyBorder="0" applyAlignment="0" applyProtection="0"/>
    <xf numFmtId="0" fontId="36" fillId="52" borderId="0" applyNumberFormat="0" applyBorder="0" applyAlignment="0" applyProtection="0"/>
    <xf numFmtId="0" fontId="36" fillId="52" borderId="0" applyNumberFormat="0" applyBorder="0" applyAlignment="0" applyProtection="0"/>
    <xf numFmtId="0" fontId="36" fillId="57" borderId="0" applyNumberFormat="0" applyBorder="0" applyAlignment="0" applyProtection="0"/>
    <xf numFmtId="0" fontId="36" fillId="57"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8" fillId="0" borderId="0"/>
    <xf numFmtId="0" fontId="39" fillId="0" borderId="0" applyNumberFormat="0" applyFill="0" applyBorder="0" applyAlignment="0" applyProtection="0"/>
    <xf numFmtId="0" fontId="40" fillId="0" borderId="0" applyNumberFormat="0" applyFill="0" applyBorder="0" applyAlignment="0" applyProtection="0"/>
    <xf numFmtId="0" fontId="41" fillId="58" borderId="15" applyNumberFormat="0" applyAlignment="0" applyProtection="0"/>
    <xf numFmtId="0" fontId="41" fillId="58" borderId="15" applyNumberFormat="0" applyAlignment="0" applyProtection="0"/>
    <xf numFmtId="0" fontId="42" fillId="0" borderId="0" applyFill="0" applyBorder="0" applyProtection="0">
      <alignment horizontal="center"/>
      <protection locked="0"/>
    </xf>
    <xf numFmtId="0" fontId="43" fillId="0" borderId="0" applyFill="0" applyBorder="0" applyProtection="0">
      <alignment horizontal="center"/>
    </xf>
    <xf numFmtId="0" fontId="44" fillId="59" borderId="16" applyNumberFormat="0" applyAlignment="0" applyProtection="0"/>
    <xf numFmtId="0" fontId="44" fillId="59" borderId="16" applyNumberFormat="0" applyAlignment="0" applyProtection="0"/>
    <xf numFmtId="0" fontId="45" fillId="0" borderId="13">
      <alignment horizontal="center"/>
    </xf>
    <xf numFmtId="182" fontId="46" fillId="0" borderId="0"/>
    <xf numFmtId="182" fontId="46" fillId="0" borderId="0"/>
    <xf numFmtId="182" fontId="46" fillId="0" borderId="0"/>
    <xf numFmtId="182" fontId="46" fillId="0" borderId="0"/>
    <xf numFmtId="182" fontId="46" fillId="0" borderId="0"/>
    <xf numFmtId="182" fontId="46" fillId="0" borderId="0"/>
    <xf numFmtId="182" fontId="46" fillId="0" borderId="0"/>
    <xf numFmtId="182" fontId="46" fillId="0" borderId="0"/>
    <xf numFmtId="183" fontId="8" fillId="0" borderId="0" applyFont="0" applyFill="0" applyBorder="0" applyAlignment="0" applyProtection="0"/>
    <xf numFmtId="184" fontId="47" fillId="0" borderId="0" applyFont="0" applyFill="0" applyBorder="0" applyAlignment="0" applyProtection="0"/>
    <xf numFmtId="185" fontId="48" fillId="0" borderId="0" applyFont="0" applyFill="0" applyBorder="0" applyAlignment="0" applyProtection="0"/>
    <xf numFmtId="186" fontId="47" fillId="0" borderId="0" applyFont="0" applyFill="0" applyBorder="0" applyAlignment="0" applyProtection="0"/>
    <xf numFmtId="39" fontId="49" fillId="0" borderId="0" applyFont="0" applyFill="0" applyBorder="0" applyAlignment="0" applyProtection="0"/>
    <xf numFmtId="187" fontId="48" fillId="0" borderId="0" applyFont="0" applyFill="0" applyBorder="0" applyAlignment="0" applyProtection="0"/>
    <xf numFmtId="188" fontId="50" fillId="0" borderId="0" applyFont="0" applyFill="0" applyBorder="0" applyAlignment="0" applyProtection="0"/>
    <xf numFmtId="189" fontId="50" fillId="0" borderId="0" applyFont="0" applyFill="0" applyBorder="0" applyAlignment="0" applyProtection="0"/>
    <xf numFmtId="190" fontId="48" fillId="0" borderId="0" applyFont="0" applyFill="0" applyBorder="0" applyAlignment="0" applyProtection="0"/>
    <xf numFmtId="191" fontId="50" fillId="0" borderId="0" applyFont="0" applyFill="0" applyBorder="0" applyAlignment="0" applyProtection="0"/>
    <xf numFmtId="192" fontId="7" fillId="0" borderId="0" applyFont="0" applyFill="0" applyBorder="0" applyAlignment="0" applyProtection="0"/>
    <xf numFmtId="192"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77" fontId="8" fillId="0" borderId="0" applyFont="0" applyFill="0" applyBorder="0" applyAlignment="0" applyProtection="0"/>
    <xf numFmtId="43" fontId="13" fillId="0" borderId="0" applyFont="0" applyFill="0" applyBorder="0" applyAlignment="0" applyProtection="0"/>
    <xf numFmtId="164" fontId="8" fillId="0" borderId="0" applyFont="0" applyFill="0" applyBorder="0" applyAlignment="0" applyProtection="0"/>
    <xf numFmtId="43" fontId="13" fillId="0" borderId="0" applyFont="0" applyFill="0" applyBorder="0" applyAlignment="0" applyProtection="0"/>
    <xf numFmtId="179" fontId="8" fillId="0" borderId="0" applyFont="0" applyFill="0" applyBorder="0" applyAlignment="0" applyProtection="0"/>
    <xf numFmtId="179" fontId="8" fillId="0" borderId="0" applyFont="0" applyFill="0" applyBorder="0" applyAlignment="0" applyProtection="0"/>
    <xf numFmtId="179" fontId="8" fillId="0" borderId="0" applyFont="0" applyFill="0" applyBorder="0" applyAlignment="0" applyProtection="0"/>
    <xf numFmtId="43" fontId="13" fillId="0" borderId="0" applyFont="0" applyFill="0" applyBorder="0" applyAlignment="0" applyProtection="0"/>
    <xf numFmtId="181" fontId="8" fillId="0" borderId="0" applyFont="0" applyFill="0" applyBorder="0" applyAlignment="0" applyProtection="0"/>
    <xf numFmtId="193" fontId="8" fillId="0" borderId="0" applyFont="0" applyFill="0" applyBorder="0" applyAlignment="0" applyProtection="0"/>
    <xf numFmtId="194" fontId="7" fillId="0" borderId="0" applyFont="0" applyFill="0" applyBorder="0" applyAlignment="0" applyProtection="0"/>
    <xf numFmtId="192" fontId="7" fillId="0" borderId="0" applyFont="0" applyFill="0" applyBorder="0" applyAlignment="0" applyProtection="0"/>
    <xf numFmtId="43" fontId="51" fillId="0" borderId="0" applyFont="0" applyFill="0" applyBorder="0" applyAlignment="0" applyProtection="0"/>
    <xf numFmtId="195" fontId="7" fillId="0" borderId="0" applyFont="0" applyFill="0" applyBorder="0" applyAlignment="0" applyProtection="0"/>
    <xf numFmtId="193" fontId="8" fillId="0" borderId="0" applyFont="0" applyFill="0" applyBorder="0" applyAlignment="0" applyProtection="0"/>
    <xf numFmtId="180" fontId="8" fillId="0" borderId="0" applyFont="0" applyFill="0" applyBorder="0" applyAlignment="0" applyProtection="0"/>
    <xf numFmtId="43" fontId="13" fillId="0" borderId="0" applyFont="0" applyFill="0" applyBorder="0" applyAlignment="0" applyProtection="0"/>
    <xf numFmtId="192" fontId="7" fillId="0" borderId="0" applyFont="0" applyFill="0" applyBorder="0" applyAlignment="0" applyProtection="0"/>
    <xf numFmtId="192" fontId="7" fillId="0" borderId="0" applyFont="0" applyFill="0" applyBorder="0" applyAlignment="0" applyProtection="0"/>
    <xf numFmtId="192" fontId="7" fillId="0" borderId="0" applyFont="0" applyFill="0" applyBorder="0" applyAlignment="0" applyProtection="0"/>
    <xf numFmtId="192" fontId="7" fillId="0" borderId="0" applyFont="0" applyFill="0" applyBorder="0" applyAlignment="0" applyProtection="0"/>
    <xf numFmtId="192" fontId="7" fillId="0" borderId="0" applyFont="0" applyFill="0" applyBorder="0" applyAlignment="0" applyProtection="0"/>
    <xf numFmtId="192" fontId="7" fillId="0" borderId="0" applyFont="0" applyFill="0" applyBorder="0" applyAlignment="0" applyProtection="0"/>
    <xf numFmtId="192" fontId="7" fillId="0" borderId="0" applyFont="0" applyFill="0" applyBorder="0" applyAlignment="0" applyProtection="0"/>
    <xf numFmtId="3" fontId="52" fillId="0" borderId="0" applyFont="0" applyFill="0" applyBorder="0" applyAlignment="0" applyProtection="0"/>
    <xf numFmtId="0" fontId="53" fillId="0" borderId="0" applyFill="0" applyBorder="0" applyAlignment="0" applyProtection="0">
      <protection locked="0"/>
    </xf>
    <xf numFmtId="196" fontId="54" fillId="0" borderId="0" applyFill="0" applyBorder="0" applyProtection="0"/>
    <xf numFmtId="197" fontId="47" fillId="0" borderId="0" applyFont="0" applyFill="0" applyBorder="0" applyAlignment="0" applyProtection="0"/>
    <xf numFmtId="198" fontId="51" fillId="0" borderId="0" applyFill="0" applyBorder="0" applyProtection="0"/>
    <xf numFmtId="198" fontId="51" fillId="0" borderId="17" applyFill="0" applyProtection="0"/>
    <xf numFmtId="198" fontId="51" fillId="0" borderId="18" applyFill="0" applyProtection="0"/>
    <xf numFmtId="199" fontId="8" fillId="0" borderId="0" applyFont="0" applyFill="0" applyBorder="0" applyAlignment="0" applyProtection="0"/>
    <xf numFmtId="200" fontId="50" fillId="0" borderId="0" applyFont="0" applyFill="0" applyBorder="0" applyAlignment="0" applyProtection="0"/>
    <xf numFmtId="201" fontId="48" fillId="0" borderId="0" applyFont="0" applyFill="0" applyBorder="0" applyAlignment="0" applyProtection="0"/>
    <xf numFmtId="202" fontId="50" fillId="0" borderId="0" applyFont="0" applyFill="0" applyBorder="0" applyAlignment="0" applyProtection="0"/>
    <xf numFmtId="203" fontId="49" fillId="0" borderId="0" applyFont="0" applyFill="0" applyBorder="0" applyAlignment="0" applyProtection="0"/>
    <xf numFmtId="204" fontId="48" fillId="0" borderId="0" applyFont="0" applyFill="0" applyBorder="0" applyAlignment="0" applyProtection="0"/>
    <xf numFmtId="205" fontId="50" fillId="0" borderId="0" applyFont="0" applyFill="0" applyBorder="0" applyAlignment="0" applyProtection="0"/>
    <xf numFmtId="206" fontId="50" fillId="0" borderId="0" applyFont="0" applyFill="0" applyBorder="0" applyAlignment="0" applyProtection="0"/>
    <xf numFmtId="207" fontId="48" fillId="0" borderId="0" applyFont="0" applyFill="0" applyBorder="0" applyAlignment="0" applyProtection="0"/>
    <xf numFmtId="208" fontId="50" fillId="0" borderId="0" applyFont="0" applyFill="0" applyBorder="0" applyAlignment="0" applyProtection="0"/>
    <xf numFmtId="209" fontId="52" fillId="0" borderId="0" applyFont="0" applyFill="0" applyBorder="0" applyAlignment="0" applyProtection="0"/>
    <xf numFmtId="0" fontId="52" fillId="0" borderId="0" applyFont="0" applyFill="0" applyBorder="0" applyAlignment="0" applyProtection="0"/>
    <xf numFmtId="210" fontId="51" fillId="0" borderId="0" applyFill="0" applyBorder="0" applyProtection="0"/>
    <xf numFmtId="210" fontId="51" fillId="0" borderId="17" applyFill="0" applyProtection="0"/>
    <xf numFmtId="210" fontId="51" fillId="0" borderId="18" applyFill="0" applyProtection="0"/>
    <xf numFmtId="169" fontId="8" fillId="0" borderId="0" applyFont="0" applyFill="0" applyBorder="0" applyAlignment="0" applyProtection="0"/>
    <xf numFmtId="211" fontId="8" fillId="0" borderId="0" applyFont="0" applyFill="0" applyBorder="0" applyAlignment="0" applyProtection="0"/>
    <xf numFmtId="0" fontId="55" fillId="0" borderId="0">
      <protection locked="0"/>
    </xf>
    <xf numFmtId="212" fontId="56" fillId="0" borderId="0">
      <protection locked="0"/>
    </xf>
    <xf numFmtId="212" fontId="56" fillId="0" borderId="0">
      <protection locked="0"/>
    </xf>
    <xf numFmtId="0" fontId="57" fillId="0" borderId="0" applyNumberFormat="0" applyFill="0" applyBorder="0" applyAlignment="0" applyProtection="0"/>
    <xf numFmtId="213" fontId="8" fillId="0" borderId="0" applyFon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5" fillId="0" borderId="0">
      <protection locked="0"/>
    </xf>
    <xf numFmtId="0" fontId="55" fillId="0" borderId="0">
      <protection locked="0"/>
    </xf>
    <xf numFmtId="0" fontId="55" fillId="0" borderId="0">
      <protection locked="0"/>
    </xf>
    <xf numFmtId="0" fontId="55" fillId="0" borderId="0">
      <protection locked="0"/>
    </xf>
    <xf numFmtId="0" fontId="55" fillId="0" borderId="0">
      <protection locked="0"/>
    </xf>
    <xf numFmtId="0" fontId="55" fillId="0" borderId="0">
      <protection locked="0"/>
    </xf>
    <xf numFmtId="0" fontId="55" fillId="0" borderId="0">
      <protection locked="0"/>
    </xf>
    <xf numFmtId="0" fontId="52" fillId="0" borderId="0" applyFont="0" applyFill="0" applyBorder="0" applyAlignment="0" applyProtection="0"/>
    <xf numFmtId="2" fontId="52" fillId="0" borderId="0" applyFont="0" applyFill="0" applyBorder="0" applyAlignment="0" applyProtection="0"/>
    <xf numFmtId="4" fontId="55" fillId="0" borderId="0">
      <protection locked="0"/>
    </xf>
    <xf numFmtId="2" fontId="52" fillId="0" borderId="0" applyFont="0" applyFill="0" applyBorder="0" applyAlignment="0" applyProtection="0"/>
    <xf numFmtId="0" fontId="59" fillId="43" borderId="0" applyNumberFormat="0" applyBorder="0" applyAlignment="0" applyProtection="0"/>
    <xf numFmtId="0" fontId="59" fillId="43" borderId="0" applyNumberFormat="0" applyBorder="0" applyAlignment="0" applyProtection="0"/>
    <xf numFmtId="38" fontId="60" fillId="60" borderId="0" applyNumberFormat="0" applyBorder="0" applyAlignment="0" applyProtection="0"/>
    <xf numFmtId="0" fontId="61" fillId="60" borderId="0" applyNumberFormat="0" applyBorder="0" applyAlignment="0" applyProtection="0"/>
    <xf numFmtId="0" fontId="57" fillId="0" borderId="10" applyNumberFormat="0" applyAlignment="0" applyProtection="0">
      <alignment horizontal="left" vertical="center"/>
    </xf>
    <xf numFmtId="0" fontId="57" fillId="0" borderId="12">
      <alignment horizontal="left" vertical="center"/>
    </xf>
    <xf numFmtId="14" fontId="42" fillId="61" borderId="19">
      <alignment horizontal="center" vertical="center" wrapText="1"/>
    </xf>
    <xf numFmtId="0" fontId="39" fillId="0" borderId="0" applyNumberFormat="0" applyFill="0" applyBorder="0" applyAlignment="0" applyProtection="0"/>
    <xf numFmtId="0" fontId="62" fillId="0" borderId="20" applyNumberFormat="0" applyFill="0" applyAlignment="0" applyProtection="0"/>
    <xf numFmtId="0" fontId="40" fillId="0" borderId="0" applyNumberFormat="0" applyFill="0" applyBorder="0" applyAlignment="0" applyProtection="0"/>
    <xf numFmtId="0" fontId="63" fillId="0" borderId="21" applyNumberFormat="0" applyFill="0" applyAlignment="0" applyProtection="0"/>
    <xf numFmtId="0" fontId="64" fillId="0" borderId="22" applyNumberFormat="0" applyFill="0" applyAlignment="0" applyProtection="0"/>
    <xf numFmtId="0" fontId="64" fillId="0" borderId="22" applyNumberFormat="0" applyFill="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43" fillId="0" borderId="0" applyFill="0" applyAlignment="0" applyProtection="0">
      <protection locked="0"/>
    </xf>
    <xf numFmtId="0" fontId="43" fillId="0" borderId="11" applyFill="0" applyAlignment="0" applyProtection="0">
      <protection locked="0"/>
    </xf>
    <xf numFmtId="0" fontId="8" fillId="0" borderId="0">
      <protection locked="0"/>
    </xf>
    <xf numFmtId="0" fontId="8" fillId="0" borderId="0">
      <protection locked="0"/>
    </xf>
    <xf numFmtId="10" fontId="60" fillId="62" borderId="14" applyNumberFormat="0" applyBorder="0" applyAlignment="0" applyProtection="0"/>
    <xf numFmtId="0" fontId="65" fillId="46" borderId="15" applyNumberFormat="0" applyAlignment="0" applyProtection="0"/>
    <xf numFmtId="0" fontId="65" fillId="46" borderId="15" applyNumberFormat="0" applyAlignment="0" applyProtection="0"/>
    <xf numFmtId="214" fontId="66" fillId="40" borderId="0" applyFont="0" applyFill="0" applyBorder="0" applyAlignment="0" applyProtection="0">
      <alignment horizontal="center"/>
    </xf>
    <xf numFmtId="0" fontId="67" fillId="0" borderId="23" applyNumberFormat="0" applyFill="0" applyAlignment="0" applyProtection="0"/>
    <xf numFmtId="0" fontId="67" fillId="0" borderId="23" applyNumberFormat="0" applyFill="0" applyAlignment="0" applyProtection="0"/>
    <xf numFmtId="0" fontId="68" fillId="62" borderId="0" applyNumberFormat="0" applyFont="0" applyFill="0" applyBorder="0" applyProtection="0">
      <alignment vertical="top" wrapText="1"/>
      <protection locked="0"/>
    </xf>
    <xf numFmtId="0" fontId="69" fillId="0" borderId="0" applyNumberFormat="0" applyFont="0" applyFill="0" applyBorder="0" applyProtection="0">
      <alignment vertical="top" wrapText="1"/>
    </xf>
    <xf numFmtId="0" fontId="53" fillId="0" borderId="0" applyFill="0" applyBorder="0" applyAlignment="0" applyProtection="0"/>
    <xf numFmtId="3" fontId="8" fillId="0" borderId="0"/>
    <xf numFmtId="37" fontId="68" fillId="62" borderId="0" applyFont="0" applyFill="0" applyProtection="0">
      <alignment vertical="top"/>
      <protection locked="0"/>
    </xf>
    <xf numFmtId="43" fontId="7" fillId="0" borderId="0" applyFont="0" applyFill="0" applyBorder="0" applyAlignment="0" applyProtection="0"/>
    <xf numFmtId="215" fontId="8" fillId="0" borderId="0" applyFont="0" applyFill="0" applyBorder="0" applyAlignment="0" applyProtection="0"/>
    <xf numFmtId="216" fontId="55" fillId="0" borderId="0">
      <protection locked="0"/>
    </xf>
    <xf numFmtId="209" fontId="52" fillId="0" borderId="0" applyFont="0" applyFill="0" applyBorder="0" applyAlignment="0" applyProtection="0"/>
    <xf numFmtId="0" fontId="35" fillId="0" borderId="0"/>
    <xf numFmtId="180" fontId="66" fillId="0" borderId="0"/>
    <xf numFmtId="217" fontId="70" fillId="0" borderId="0"/>
    <xf numFmtId="0" fontId="13" fillId="0" borderId="0"/>
    <xf numFmtId="0" fontId="7" fillId="0" borderId="0"/>
    <xf numFmtId="0" fontId="13" fillId="0" borderId="0"/>
    <xf numFmtId="0" fontId="8" fillId="0" borderId="0"/>
    <xf numFmtId="0" fontId="13" fillId="0" borderId="0"/>
    <xf numFmtId="0" fontId="7" fillId="0" borderId="0"/>
    <xf numFmtId="0" fontId="7" fillId="63" borderId="24" applyNumberFormat="0" applyFont="0" applyAlignment="0" applyProtection="0"/>
    <xf numFmtId="0" fontId="71" fillId="58" borderId="25" applyNumberFormat="0" applyAlignment="0" applyProtection="0"/>
    <xf numFmtId="0" fontId="71" fillId="58" borderId="25" applyNumberFormat="0" applyAlignment="0" applyProtection="0"/>
    <xf numFmtId="218" fontId="50" fillId="0" borderId="0" applyFont="0" applyFill="0" applyBorder="0" applyAlignment="0" applyProtection="0"/>
    <xf numFmtId="219" fontId="47" fillId="0" borderId="0" applyFont="0" applyFill="0" applyBorder="0" applyAlignment="0" applyProtection="0"/>
    <xf numFmtId="220" fontId="43" fillId="0" borderId="0" applyFont="0" applyFill="0" applyBorder="0" applyAlignment="0" applyProtection="0"/>
    <xf numFmtId="170" fontId="8" fillId="0" borderId="0" applyFont="0" applyFill="0" applyBorder="0" applyAlignment="0" applyProtection="0"/>
    <xf numFmtId="10" fontId="8" fillId="0" borderId="0" applyFont="0" applyFill="0" applyBorder="0" applyAlignment="0" applyProtection="0"/>
    <xf numFmtId="221" fontId="50" fillId="0" borderId="0" applyFont="0" applyFill="0" applyBorder="0" applyAlignment="0" applyProtection="0"/>
    <xf numFmtId="222" fontId="47" fillId="0" borderId="0" applyFont="0" applyFill="0" applyBorder="0" applyAlignment="0" applyProtection="0"/>
    <xf numFmtId="223" fontId="50" fillId="0" borderId="0" applyFont="0" applyFill="0" applyBorder="0" applyAlignment="0" applyProtection="0"/>
    <xf numFmtId="224" fontId="50" fillId="0" borderId="0" applyFont="0" applyFill="0" applyBorder="0" applyAlignment="0" applyProtection="0"/>
    <xf numFmtId="225" fontId="47" fillId="0" borderId="0" applyFont="0" applyFill="0" applyBorder="0" applyAlignment="0" applyProtection="0"/>
    <xf numFmtId="226" fontId="50" fillId="0" borderId="0" applyFont="0" applyFill="0" applyBorder="0" applyAlignment="0" applyProtection="0"/>
    <xf numFmtId="227" fontId="50" fillId="0" borderId="0" applyFont="0" applyFill="0" applyBorder="0" applyAlignment="0" applyProtection="0"/>
    <xf numFmtId="228" fontId="47" fillId="0" borderId="0" applyFont="0" applyFill="0" applyBorder="0" applyAlignment="0" applyProtection="0"/>
    <xf numFmtId="229" fontId="50" fillId="0" borderId="0" applyFont="0" applyFill="0" applyBorder="0" applyAlignment="0" applyProtection="0"/>
    <xf numFmtId="9" fontId="7"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13" fillId="0" borderId="0" applyFont="0" applyFill="0" applyBorder="0" applyAlignment="0" applyProtection="0"/>
    <xf numFmtId="9" fontId="8" fillId="0" borderId="0" applyFont="0" applyFill="0" applyBorder="0" applyAlignment="0" applyProtection="0"/>
    <xf numFmtId="0" fontId="72" fillId="0" borderId="0"/>
    <xf numFmtId="230" fontId="55" fillId="0" borderId="0">
      <protection locked="0"/>
    </xf>
    <xf numFmtId="0" fontId="73" fillId="0" borderId="0" applyNumberFormat="0" applyFont="0" applyFill="0" applyBorder="0" applyAlignment="0">
      <protection hidden="1"/>
    </xf>
    <xf numFmtId="0" fontId="74" fillId="0" borderId="0" applyNumberFormat="0" applyFont="0" applyFill="0" applyBorder="0" applyAlignment="0" applyProtection="0">
      <alignment horizontal="left"/>
    </xf>
    <xf numFmtId="15" fontId="74" fillId="0" borderId="0" applyFont="0" applyFill="0" applyBorder="0" applyAlignment="0" applyProtection="0"/>
    <xf numFmtId="4" fontId="74" fillId="0" borderId="0" applyFont="0" applyFill="0" applyBorder="0" applyAlignment="0" applyProtection="0"/>
    <xf numFmtId="0" fontId="75" fillId="0" borderId="19">
      <alignment horizontal="center"/>
    </xf>
    <xf numFmtId="3" fontId="74" fillId="0" borderId="0" applyFont="0" applyFill="0" applyBorder="0" applyAlignment="0" applyProtection="0"/>
    <xf numFmtId="0" fontId="74" fillId="64" borderId="0" applyNumberFormat="0" applyFont="0" applyBorder="0" applyAlignment="0" applyProtection="0"/>
    <xf numFmtId="175" fontId="8" fillId="0" borderId="0" applyFill="0" applyBorder="0" applyAlignment="0" applyProtection="0"/>
    <xf numFmtId="3" fontId="52" fillId="0" borderId="0" applyFont="0" applyFill="0" applyBorder="0" applyAlignment="0" applyProtection="0"/>
    <xf numFmtId="0" fontId="72" fillId="0" borderId="0"/>
    <xf numFmtId="0" fontId="72" fillId="0" borderId="0"/>
    <xf numFmtId="0" fontId="72" fillId="0" borderId="0"/>
    <xf numFmtId="3" fontId="8" fillId="0" borderId="0" applyFill="0" applyBorder="0" applyAlignment="0" applyProtection="0"/>
    <xf numFmtId="0" fontId="72" fillId="0" borderId="0"/>
    <xf numFmtId="180" fontId="66" fillId="0" borderId="0"/>
    <xf numFmtId="0" fontId="8" fillId="0" borderId="0">
      <alignment vertical="top"/>
    </xf>
    <xf numFmtId="0" fontId="74" fillId="0" borderId="0"/>
    <xf numFmtId="0" fontId="34" fillId="60" borderId="0" applyNumberFormat="0" applyBorder="0" applyAlignment="0" applyProtection="0"/>
    <xf numFmtId="0" fontId="43" fillId="0" borderId="0" applyFill="0" applyBorder="0" applyAlignment="0" applyProtection="0"/>
    <xf numFmtId="0" fontId="76" fillId="0" borderId="26" applyNumberFormat="0" applyFont="0" applyFill="0" applyProtection="0">
      <alignment vertical="top" wrapText="1"/>
    </xf>
    <xf numFmtId="0" fontId="77" fillId="0" borderId="0" applyFill="0" applyBorder="0" applyProtection="0">
      <alignment horizontal="left" vertical="top"/>
    </xf>
    <xf numFmtId="0" fontId="78" fillId="0" borderId="0" applyNumberFormat="0" applyFill="0" applyBorder="0" applyAlignment="0" applyProtection="0"/>
    <xf numFmtId="0" fontId="78" fillId="0" borderId="0" applyNumberFormat="0" applyFill="0" applyBorder="0" applyAlignment="0" applyProtection="0"/>
    <xf numFmtId="178" fontId="8" fillId="0" borderId="0" applyFont="0" applyFill="0" applyBorder="0" applyAlignment="0" applyProtection="0"/>
    <xf numFmtId="164" fontId="8" fillId="0" borderId="0" applyFont="0" applyFill="0" applyBorder="0" applyAlignment="0" applyProtection="0"/>
    <xf numFmtId="231" fontId="8" fillId="0" borderId="0" applyFont="0" applyFill="0" applyBorder="0" applyAlignment="0" applyProtection="0"/>
    <xf numFmtId="232" fontId="8" fillId="0" borderId="0" applyFont="0" applyFill="0" applyBorder="0" applyAlignment="0" applyProtection="0"/>
    <xf numFmtId="233" fontId="7" fillId="0" borderId="0" applyFont="0" applyFill="0" applyBorder="0" applyAlignment="0" applyProtection="0"/>
    <xf numFmtId="234" fontId="7" fillId="0" borderId="0" applyFon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235" fontId="47" fillId="0" borderId="0" applyFont="0" applyFill="0" applyBorder="0" applyAlignment="0" applyProtection="0"/>
    <xf numFmtId="236" fontId="47" fillId="0" borderId="0" applyFont="0" applyFill="0" applyBorder="0" applyAlignment="0" applyProtection="0"/>
    <xf numFmtId="237" fontId="47" fillId="0" borderId="0" applyFont="0" applyFill="0" applyBorder="0" applyAlignment="0" applyProtection="0"/>
    <xf numFmtId="238" fontId="47" fillId="0" borderId="0" applyFont="0" applyFill="0" applyBorder="0" applyAlignment="0" applyProtection="0"/>
    <xf numFmtId="239" fontId="47" fillId="0" borderId="0" applyFont="0" applyFill="0" applyBorder="0" applyAlignment="0" applyProtection="0"/>
    <xf numFmtId="240" fontId="47" fillId="0" borderId="0" applyFont="0" applyFill="0" applyBorder="0" applyAlignment="0" applyProtection="0"/>
    <xf numFmtId="241" fontId="47" fillId="0" borderId="0" applyFont="0" applyFill="0" applyBorder="0" applyAlignment="0" applyProtection="0"/>
    <xf numFmtId="242" fontId="47" fillId="0" borderId="0" applyFont="0" applyFill="0" applyBorder="0" applyAlignment="0" applyProtection="0"/>
    <xf numFmtId="0" fontId="8" fillId="0" borderId="0"/>
    <xf numFmtId="0" fontId="8" fillId="0" borderId="0"/>
    <xf numFmtId="0" fontId="8" fillId="0" borderId="0"/>
    <xf numFmtId="0" fontId="8" fillId="0" borderId="0"/>
    <xf numFmtId="43" fontId="13" fillId="0" borderId="0" applyFont="0" applyFill="0" applyBorder="0" applyAlignment="0" applyProtection="0"/>
    <xf numFmtId="43" fontId="8" fillId="0" borderId="0" applyFont="0" applyFill="0" applyBorder="0" applyAlignment="0" applyProtection="0"/>
    <xf numFmtId="0" fontId="1" fillId="0" borderId="0"/>
    <xf numFmtId="164" fontId="1" fillId="0" borderId="0" applyFont="0" applyFill="0" applyBorder="0" applyAlignment="0" applyProtection="0"/>
    <xf numFmtId="164" fontId="8" fillId="0" borderId="0" applyFont="0" applyFill="0" applyBorder="0" applyAlignment="0" applyProtection="0"/>
    <xf numFmtId="179" fontId="8" fillId="0" borderId="0" applyFont="0" applyFill="0" applyBorder="0" applyAlignment="0" applyProtection="0"/>
    <xf numFmtId="179" fontId="8" fillId="0" borderId="0" applyFont="0" applyFill="0" applyBorder="0" applyAlignment="0" applyProtection="0"/>
    <xf numFmtId="179" fontId="8" fillId="0" borderId="0" applyFont="0" applyFill="0" applyBorder="0" applyAlignment="0" applyProtection="0"/>
    <xf numFmtId="164" fontId="7"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79" fontId="8" fillId="0" borderId="0" applyFont="0" applyFill="0" applyBorder="0" applyAlignment="0" applyProtection="0"/>
    <xf numFmtId="179" fontId="8" fillId="0" borderId="0" applyFont="0" applyFill="0" applyBorder="0" applyAlignment="0" applyProtection="0"/>
    <xf numFmtId="179" fontId="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79" fontId="8" fillId="0" borderId="0" applyFont="0" applyFill="0" applyBorder="0" applyAlignment="0" applyProtection="0"/>
    <xf numFmtId="179" fontId="8" fillId="0" borderId="0" applyFont="0" applyFill="0" applyBorder="0" applyAlignment="0" applyProtection="0"/>
    <xf numFmtId="179" fontId="8" fillId="0" borderId="0" applyFont="0" applyFill="0" applyBorder="0" applyAlignment="0" applyProtection="0"/>
    <xf numFmtId="164" fontId="7"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51" fillId="0" borderId="0" applyFont="0" applyFill="0" applyBorder="0" applyAlignment="0" applyProtection="0"/>
    <xf numFmtId="43" fontId="13" fillId="0" borderId="0" applyFont="0" applyFill="0" applyBorder="0" applyAlignment="0" applyProtection="0"/>
    <xf numFmtId="43" fontId="7" fillId="0" borderId="0" applyFont="0" applyFill="0" applyBorder="0" applyAlignment="0" applyProtection="0"/>
    <xf numFmtId="43" fontId="13" fillId="0" borderId="0" applyFont="0" applyFill="0" applyBorder="0" applyAlignment="0" applyProtection="0"/>
    <xf numFmtId="43" fontId="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5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51" fillId="0" borderId="0" applyFont="0" applyFill="0" applyBorder="0" applyAlignment="0" applyProtection="0"/>
    <xf numFmtId="43" fontId="13" fillId="0" borderId="0" applyFont="0" applyFill="0" applyBorder="0" applyAlignment="0" applyProtection="0"/>
    <xf numFmtId="43" fontId="7" fillId="0" borderId="0" applyFont="0" applyFill="0" applyBorder="0" applyAlignment="0" applyProtection="0"/>
    <xf numFmtId="43" fontId="13" fillId="0" borderId="0" applyFont="0" applyFill="0" applyBorder="0" applyAlignment="0" applyProtection="0"/>
    <xf numFmtId="43" fontId="8" fillId="0" borderId="0" applyFont="0" applyFill="0" applyBorder="0" applyAlignment="0" applyProtection="0"/>
    <xf numFmtId="0" fontId="15" fillId="0" borderId="0" applyNumberFormat="0" applyFill="0" applyBorder="0" applyAlignment="0" applyProtection="0"/>
    <xf numFmtId="0" fontId="16" fillId="0" borderId="1" applyNumberFormat="0" applyFill="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1" fillId="0" borderId="0" applyFont="0" applyFill="0" applyBorder="0" applyAlignment="0" applyProtection="0"/>
    <xf numFmtId="179" fontId="8" fillId="0" borderId="0" applyFont="0" applyFill="0" applyBorder="0" applyAlignment="0" applyProtection="0"/>
    <xf numFmtId="179" fontId="8" fillId="0" borderId="0" applyFont="0" applyFill="0" applyBorder="0" applyAlignment="0" applyProtection="0"/>
    <xf numFmtId="179" fontId="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79" fontId="8" fillId="0" borderId="0" applyFont="0" applyFill="0" applyBorder="0" applyAlignment="0" applyProtection="0"/>
    <xf numFmtId="179" fontId="8" fillId="0" borderId="0" applyFont="0" applyFill="0" applyBorder="0" applyAlignment="0" applyProtection="0"/>
    <xf numFmtId="179" fontId="8" fillId="0" borderId="0" applyFont="0" applyFill="0" applyBorder="0" applyAlignment="0" applyProtection="0"/>
    <xf numFmtId="164" fontId="7"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79" fontId="8" fillId="0" borderId="0" applyFont="0" applyFill="0" applyBorder="0" applyAlignment="0" applyProtection="0"/>
    <xf numFmtId="179" fontId="8" fillId="0" borderId="0" applyFont="0" applyFill="0" applyBorder="0" applyAlignment="0" applyProtection="0"/>
    <xf numFmtId="179" fontId="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79" fontId="8" fillId="0" borderId="0" applyFont="0" applyFill="0" applyBorder="0" applyAlignment="0" applyProtection="0"/>
    <xf numFmtId="179" fontId="8" fillId="0" borderId="0" applyFont="0" applyFill="0" applyBorder="0" applyAlignment="0" applyProtection="0"/>
    <xf numFmtId="179" fontId="8" fillId="0" borderId="0" applyFont="0" applyFill="0" applyBorder="0" applyAlignment="0" applyProtection="0"/>
    <xf numFmtId="164" fontId="7"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1"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5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51" fillId="0" borderId="0" applyFont="0" applyFill="0" applyBorder="0" applyAlignment="0" applyProtection="0"/>
    <xf numFmtId="43" fontId="13" fillId="0" borderId="0" applyFont="0" applyFill="0" applyBorder="0" applyAlignment="0" applyProtection="0"/>
    <xf numFmtId="43" fontId="7" fillId="0" borderId="0" applyFont="0" applyFill="0" applyBorder="0" applyAlignment="0" applyProtection="0"/>
    <xf numFmtId="43" fontId="13" fillId="0" borderId="0" applyFont="0" applyFill="0" applyBorder="0" applyAlignment="0" applyProtection="0"/>
    <xf numFmtId="43" fontId="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5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51" fillId="0" borderId="0" applyFont="0" applyFill="0" applyBorder="0" applyAlignment="0" applyProtection="0"/>
    <xf numFmtId="43" fontId="13" fillId="0" borderId="0" applyFont="0" applyFill="0" applyBorder="0" applyAlignment="0" applyProtection="0"/>
    <xf numFmtId="43" fontId="7" fillId="0" borderId="0" applyFont="0" applyFill="0" applyBorder="0" applyAlignment="0" applyProtection="0"/>
    <xf numFmtId="43" fontId="13" fillId="0" borderId="0" applyFont="0" applyFill="0" applyBorder="0" applyAlignment="0" applyProtection="0"/>
    <xf numFmtId="43" fontId="8" fillId="0" borderId="0" applyFont="0" applyFill="0" applyBorder="0" applyAlignment="0" applyProtection="0"/>
    <xf numFmtId="0" fontId="1" fillId="0" borderId="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7"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7"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7"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7"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7"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7"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7"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7"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21" fillId="10"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7"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7"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7"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7"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7"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7"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7"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7"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7"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7"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41" fillId="58" borderId="15" applyNumberFormat="0" applyAlignment="0" applyProtection="0"/>
    <xf numFmtId="164" fontId="8" fillId="0" borderId="0" applyFont="0" applyFill="0" applyBorder="0" applyAlignment="0" applyProtection="0"/>
    <xf numFmtId="198" fontId="51" fillId="0" borderId="17" applyFill="0" applyProtection="0"/>
    <xf numFmtId="210" fontId="51" fillId="0" borderId="17" applyFill="0" applyProtection="0"/>
    <xf numFmtId="0" fontId="65" fillId="46" borderId="15" applyNumberFormat="0" applyAlignment="0" applyProtection="0"/>
    <xf numFmtId="0" fontId="7" fillId="63" borderId="24" applyNumberFormat="0" applyFont="0" applyAlignment="0" applyProtection="0"/>
    <xf numFmtId="0" fontId="71" fillId="58" borderId="25" applyNumberFormat="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7"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7"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7"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7"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7"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7"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7"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7"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7"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7"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7"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7"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7"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7"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7"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7"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7"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7"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7"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7"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7"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7"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0" fontId="8" fillId="0" borderId="0"/>
    <xf numFmtId="164" fontId="8" fillId="0" borderId="0" applyFont="0" applyFill="0" applyBorder="0" applyAlignment="0" applyProtection="0"/>
    <xf numFmtId="0" fontId="8" fillId="0" borderId="0"/>
    <xf numFmtId="164" fontId="1" fillId="0" borderId="0" applyFont="0" applyFill="0" applyBorder="0" applyAlignment="0" applyProtection="0"/>
    <xf numFmtId="164" fontId="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7"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7"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7"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7"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7"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7"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7"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7"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7"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7"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7"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7"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7"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7"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7"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7"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7"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7"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7"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7"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7"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7"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7"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7"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7"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7"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7"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7"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7"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7"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7"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7"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7"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7"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7"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7"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7"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7"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7"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7"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7"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7"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7"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7"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7"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7"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7"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7"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7"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7"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7"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7"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7"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7"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7"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7"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7"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7"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7"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7"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7"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7"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7"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7"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7"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7"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7"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7"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7"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7"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7"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7"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7"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7"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7"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7"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7"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7"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7"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7"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7"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7"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7"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7"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7"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7"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7"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7"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7"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7"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7"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7"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7"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7"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7"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7"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7"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7"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7"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7"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7"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7"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7"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7"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7"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7"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7"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7"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7"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7"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7"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7"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7"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7"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7"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7"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7"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7"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7"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7"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7"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7"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7"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7"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7"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7"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7"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7"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7"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7"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7"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7"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7"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7"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7"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7"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7"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7"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7"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7"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7"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7"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7"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7"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7"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7"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7"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7"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7"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7"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7"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7"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7"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7"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7"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7"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7"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7"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7"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7"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7"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7"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7"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7"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7"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7"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7"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7"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7"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7"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7"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7"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7"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7"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7"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7"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41"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cellStyleXfs>
  <cellXfs count="126">
    <xf numFmtId="0" fontId="0" fillId="0" borderId="0" xfId="0"/>
    <xf numFmtId="0" fontId="2" fillId="3" borderId="0" xfId="0" applyFont="1" applyFill="1"/>
    <xf numFmtId="0" fontId="4" fillId="5" borderId="0" xfId="0" applyFont="1" applyFill="1" applyAlignment="1">
      <alignment horizontal="left"/>
    </xf>
    <xf numFmtId="0" fontId="4" fillId="4" borderId="0" xfId="0" applyFont="1" applyFill="1"/>
    <xf numFmtId="17" fontId="2" fillId="2" borderId="0" xfId="0" applyNumberFormat="1" applyFont="1" applyFill="1"/>
    <xf numFmtId="0" fontId="2" fillId="2" borderId="0" xfId="0" applyFont="1" applyFill="1"/>
    <xf numFmtId="0" fontId="4" fillId="5" borderId="0" xfId="0" applyFont="1" applyFill="1"/>
    <xf numFmtId="166" fontId="2" fillId="2" borderId="0" xfId="0" applyNumberFormat="1" applyFont="1" applyFill="1"/>
    <xf numFmtId="167" fontId="2" fillId="2" borderId="0" xfId="0" applyNumberFormat="1" applyFont="1" applyFill="1" applyAlignment="1">
      <alignment horizontal="right" vertical="center"/>
    </xf>
    <xf numFmtId="167" fontId="4" fillId="5" borderId="0" xfId="0" applyNumberFormat="1" applyFont="1" applyFill="1"/>
    <xf numFmtId="166" fontId="4" fillId="4" borderId="0" xfId="0" applyNumberFormat="1" applyFont="1" applyFill="1"/>
    <xf numFmtId="9" fontId="4" fillId="5" borderId="0" xfId="2" applyFont="1" applyFill="1"/>
    <xf numFmtId="0" fontId="5" fillId="6" borderId="0" xfId="0" applyFont="1" applyFill="1"/>
    <xf numFmtId="0" fontId="2" fillId="6" borderId="0" xfId="0" applyFont="1" applyFill="1"/>
    <xf numFmtId="168" fontId="2" fillId="2" borderId="0" xfId="1" applyNumberFormat="1" applyFont="1" applyFill="1"/>
    <xf numFmtId="168" fontId="2" fillId="3" borderId="0" xfId="1" applyNumberFormat="1" applyFont="1" applyFill="1"/>
    <xf numFmtId="168" fontId="4" fillId="5" borderId="0" xfId="1" applyNumberFormat="1" applyFont="1" applyFill="1"/>
    <xf numFmtId="167" fontId="4" fillId="4" borderId="0" xfId="0" applyNumberFormat="1" applyFont="1" applyFill="1"/>
    <xf numFmtId="166" fontId="2" fillId="2" borderId="0" xfId="1" applyNumberFormat="1" applyFont="1" applyFill="1" applyBorder="1" applyAlignment="1">
      <alignment horizontal="right" vertical="center"/>
    </xf>
    <xf numFmtId="166" fontId="4" fillId="5" borderId="0" xfId="1" applyNumberFormat="1" applyFont="1" applyFill="1"/>
    <xf numFmtId="0" fontId="6" fillId="7" borderId="0" xfId="0" applyFont="1" applyFill="1"/>
    <xf numFmtId="167" fontId="6" fillId="7" borderId="0" xfId="0" applyNumberFormat="1" applyFont="1" applyFill="1" applyAlignment="1">
      <alignment horizontal="right" vertical="center"/>
    </xf>
    <xf numFmtId="166" fontId="2" fillId="3" borderId="0" xfId="1" applyNumberFormat="1" applyFont="1" applyFill="1"/>
    <xf numFmtId="166" fontId="6" fillId="7" borderId="0" xfId="1" applyNumberFormat="1" applyFont="1" applyFill="1" applyBorder="1" applyAlignment="1">
      <alignment horizontal="right" vertical="center"/>
    </xf>
    <xf numFmtId="169" fontId="4" fillId="5" borderId="0" xfId="0" applyNumberFormat="1" applyFont="1" applyFill="1"/>
    <xf numFmtId="169" fontId="2" fillId="2" borderId="0" xfId="0" applyNumberFormat="1" applyFont="1" applyFill="1" applyAlignment="1">
      <alignment horizontal="right" vertical="center"/>
    </xf>
    <xf numFmtId="169" fontId="2" fillId="3" borderId="0" xfId="0" applyNumberFormat="1" applyFont="1" applyFill="1"/>
    <xf numFmtId="169" fontId="6" fillId="7" borderId="0" xfId="0" applyNumberFormat="1" applyFont="1" applyFill="1" applyAlignment="1">
      <alignment horizontal="right" vertical="center"/>
    </xf>
    <xf numFmtId="0" fontId="6" fillId="2" borderId="0" xfId="0" applyFont="1" applyFill="1"/>
    <xf numFmtId="169" fontId="6" fillId="2" borderId="0" xfId="0" applyNumberFormat="1" applyFont="1" applyFill="1" applyAlignment="1">
      <alignment horizontal="right" vertical="center"/>
    </xf>
    <xf numFmtId="1" fontId="2" fillId="2" borderId="0" xfId="0" applyNumberFormat="1" applyFont="1" applyFill="1" applyAlignment="1">
      <alignment horizontal="right" vertical="center"/>
    </xf>
    <xf numFmtId="1" fontId="6" fillId="2" borderId="0" xfId="0" applyNumberFormat="1" applyFont="1" applyFill="1" applyAlignment="1">
      <alignment horizontal="right" vertical="center"/>
    </xf>
    <xf numFmtId="166" fontId="4" fillId="5" borderId="0" xfId="0" applyNumberFormat="1" applyFont="1" applyFill="1"/>
    <xf numFmtId="166" fontId="2" fillId="3" borderId="0" xfId="0" applyNumberFormat="1" applyFont="1" applyFill="1"/>
    <xf numFmtId="166" fontId="2" fillId="2" borderId="0" xfId="0" applyNumberFormat="1" applyFont="1" applyFill="1" applyAlignment="1">
      <alignment horizontal="right" vertical="center"/>
    </xf>
    <xf numFmtId="166" fontId="6" fillId="7" borderId="0" xfId="0" applyNumberFormat="1" applyFont="1" applyFill="1" applyAlignment="1">
      <alignment horizontal="right" vertical="center"/>
    </xf>
    <xf numFmtId="170" fontId="2" fillId="2" borderId="0" xfId="2" applyNumberFormat="1" applyFont="1" applyFill="1"/>
    <xf numFmtId="170" fontId="2" fillId="2" borderId="0" xfId="2" applyNumberFormat="1" applyFont="1" applyFill="1" applyBorder="1" applyAlignment="1">
      <alignment horizontal="right" vertical="center"/>
    </xf>
    <xf numFmtId="170" fontId="4" fillId="5" borderId="0" xfId="2" applyNumberFormat="1" applyFont="1" applyFill="1"/>
    <xf numFmtId="170" fontId="2" fillId="3" borderId="0" xfId="0" applyNumberFormat="1" applyFont="1" applyFill="1"/>
    <xf numFmtId="170" fontId="2" fillId="3" borderId="0" xfId="2" applyNumberFormat="1" applyFont="1" applyFill="1"/>
    <xf numFmtId="0" fontId="4" fillId="3" borderId="0" xfId="0" applyFont="1" applyFill="1" applyAlignment="1">
      <alignment horizontal="left"/>
    </xf>
    <xf numFmtId="167" fontId="4" fillId="3" borderId="0" xfId="0" applyNumberFormat="1" applyFont="1" applyFill="1"/>
    <xf numFmtId="170" fontId="4" fillId="3" borderId="0" xfId="2" applyNumberFormat="1" applyFont="1" applyFill="1"/>
    <xf numFmtId="167" fontId="2" fillId="2" borderId="0" xfId="0" applyNumberFormat="1" applyFont="1" applyFill="1"/>
    <xf numFmtId="166" fontId="4" fillId="3" borderId="0" xfId="0" applyNumberFormat="1" applyFont="1" applyFill="1"/>
    <xf numFmtId="170" fontId="2" fillId="2" borderId="0" xfId="0" applyNumberFormat="1" applyFont="1" applyFill="1" applyAlignment="1">
      <alignment horizontal="right" vertical="center"/>
    </xf>
    <xf numFmtId="0" fontId="9" fillId="3" borderId="0" xfId="0" applyFont="1" applyFill="1"/>
    <xf numFmtId="43" fontId="2" fillId="3" borderId="0" xfId="0" applyNumberFormat="1" applyFont="1" applyFill="1"/>
    <xf numFmtId="170" fontId="2" fillId="2" borderId="0" xfId="2" applyNumberFormat="1" applyFont="1" applyFill="1" applyAlignment="1">
      <alignment horizontal="right"/>
    </xf>
    <xf numFmtId="167" fontId="4" fillId="4" borderId="0" xfId="0" applyNumberFormat="1" applyFont="1" applyFill="1" applyAlignment="1">
      <alignment horizontal="right" vertical="center"/>
    </xf>
    <xf numFmtId="170" fontId="4" fillId="4" borderId="0" xfId="2" applyNumberFormat="1" applyFont="1" applyFill="1" applyAlignment="1">
      <alignment horizontal="right"/>
    </xf>
    <xf numFmtId="171" fontId="2" fillId="3" borderId="0" xfId="0" applyNumberFormat="1" applyFont="1" applyFill="1"/>
    <xf numFmtId="167" fontId="2" fillId="3" borderId="0" xfId="0" applyNumberFormat="1" applyFont="1" applyFill="1"/>
    <xf numFmtId="172" fontId="2" fillId="3" borderId="0" xfId="0" applyNumberFormat="1" applyFont="1" applyFill="1"/>
    <xf numFmtId="9" fontId="2" fillId="3" borderId="0" xfId="2" applyFont="1" applyFill="1"/>
    <xf numFmtId="170" fontId="6" fillId="7" borderId="0" xfId="2" applyNumberFormat="1" applyFont="1" applyFill="1" applyAlignment="1">
      <alignment horizontal="right"/>
    </xf>
    <xf numFmtId="41" fontId="2" fillId="2" borderId="0" xfId="1" applyFont="1" applyFill="1"/>
    <xf numFmtId="1" fontId="6" fillId="2" borderId="0" xfId="1" applyNumberFormat="1" applyFont="1" applyFill="1" applyBorder="1" applyAlignment="1">
      <alignment vertical="center"/>
    </xf>
    <xf numFmtId="0" fontId="2" fillId="3" borderId="0" xfId="0" applyFont="1" applyFill="1" applyAlignment="1">
      <alignment horizontal="center"/>
    </xf>
    <xf numFmtId="169" fontId="4" fillId="5" borderId="0" xfId="0" applyNumberFormat="1" applyFont="1" applyFill="1" applyAlignment="1">
      <alignment horizontal="center"/>
    </xf>
    <xf numFmtId="170" fontId="4" fillId="5" borderId="0" xfId="2" applyNumberFormat="1" applyFont="1" applyFill="1" applyAlignment="1">
      <alignment horizontal="center"/>
    </xf>
    <xf numFmtId="169" fontId="2" fillId="2" borderId="0" xfId="0" applyNumberFormat="1" applyFont="1" applyFill="1" applyAlignment="1">
      <alignment horizontal="center" vertical="center"/>
    </xf>
    <xf numFmtId="170" fontId="2" fillId="2" borderId="0" xfId="2" applyNumberFormat="1" applyFont="1" applyFill="1" applyAlignment="1">
      <alignment horizontal="center"/>
    </xf>
    <xf numFmtId="9" fontId="2" fillId="2" borderId="0" xfId="2" applyFont="1" applyFill="1" applyBorder="1" applyAlignment="1">
      <alignment horizontal="center" vertical="center"/>
    </xf>
    <xf numFmtId="169" fontId="6" fillId="2" borderId="0" xfId="0" applyNumberFormat="1" applyFont="1" applyFill="1" applyAlignment="1">
      <alignment horizontal="center" vertical="center"/>
    </xf>
    <xf numFmtId="169" fontId="2" fillId="3" borderId="0" xfId="0" applyNumberFormat="1" applyFont="1" applyFill="1" applyAlignment="1">
      <alignment horizontal="center"/>
    </xf>
    <xf numFmtId="170" fontId="6" fillId="2" borderId="0" xfId="2" applyNumberFormat="1" applyFont="1" applyFill="1" applyAlignment="1">
      <alignment horizontal="center"/>
    </xf>
    <xf numFmtId="169" fontId="6" fillId="7" borderId="0" xfId="0" applyNumberFormat="1" applyFont="1" applyFill="1" applyAlignment="1">
      <alignment horizontal="center" vertical="center"/>
    </xf>
    <xf numFmtId="170" fontId="6" fillId="7" borderId="0" xfId="2" applyNumberFormat="1" applyFont="1" applyFill="1" applyAlignment="1">
      <alignment horizontal="center"/>
    </xf>
    <xf numFmtId="0" fontId="10" fillId="3" borderId="0" xfId="0" applyFont="1" applyFill="1"/>
    <xf numFmtId="3" fontId="2" fillId="2" borderId="0" xfId="0" applyNumberFormat="1" applyFont="1" applyFill="1" applyAlignment="1">
      <alignment horizontal="right" vertical="center"/>
    </xf>
    <xf numFmtId="173" fontId="2" fillId="2" borderId="0" xfId="0" applyNumberFormat="1" applyFont="1" applyFill="1"/>
    <xf numFmtId="0" fontId="4" fillId="4" borderId="0" xfId="0" applyFont="1" applyFill="1" applyAlignment="1">
      <alignment horizontal="center" vertical="center"/>
    </xf>
    <xf numFmtId="169" fontId="2" fillId="6" borderId="0" xfId="9" applyNumberFormat="1" applyFont="1" applyFill="1" applyAlignment="1">
      <alignment horizontal="center" vertical="center"/>
    </xf>
    <xf numFmtId="169" fontId="2" fillId="3" borderId="0" xfId="9" applyNumberFormat="1" applyFont="1" applyFill="1" applyAlignment="1">
      <alignment horizontal="center" vertical="center"/>
    </xf>
    <xf numFmtId="169" fontId="4" fillId="5" borderId="0" xfId="9" applyNumberFormat="1" applyFont="1" applyFill="1" applyAlignment="1">
      <alignment horizontal="center" vertical="center"/>
    </xf>
    <xf numFmtId="169" fontId="2" fillId="2" borderId="0" xfId="9" applyNumberFormat="1" applyFont="1" applyFill="1" applyBorder="1" applyAlignment="1">
      <alignment horizontal="center" vertical="center"/>
    </xf>
    <xf numFmtId="169" fontId="6" fillId="2" borderId="0" xfId="9" applyNumberFormat="1" applyFont="1" applyFill="1" applyBorder="1" applyAlignment="1">
      <alignment horizontal="center" vertical="center"/>
    </xf>
    <xf numFmtId="169" fontId="6" fillId="7" borderId="0" xfId="9" applyNumberFormat="1" applyFont="1" applyFill="1" applyBorder="1" applyAlignment="1">
      <alignment horizontal="center" vertical="center"/>
    </xf>
    <xf numFmtId="170" fontId="2" fillId="2" borderId="0" xfId="2" applyNumberFormat="1" applyFont="1" applyFill="1" applyAlignment="1">
      <alignment horizontal="right" vertical="center"/>
    </xf>
    <xf numFmtId="167" fontId="2" fillId="3" borderId="0" xfId="9" applyNumberFormat="1" applyFont="1" applyFill="1"/>
    <xf numFmtId="175" fontId="2" fillId="2" borderId="0" xfId="0" applyNumberFormat="1" applyFont="1" applyFill="1"/>
    <xf numFmtId="167" fontId="2" fillId="2" borderId="0" xfId="0" applyNumberFormat="1" applyFont="1" applyFill="1" applyAlignment="1">
      <alignment horizontal="right"/>
    </xf>
    <xf numFmtId="9" fontId="6" fillId="2" borderId="0" xfId="2" applyFont="1" applyFill="1" applyAlignment="1">
      <alignment horizontal="center"/>
    </xf>
    <xf numFmtId="170" fontId="2" fillId="3" borderId="0" xfId="0" applyNumberFormat="1" applyFont="1" applyFill="1" applyAlignment="1">
      <alignment horizontal="center"/>
    </xf>
    <xf numFmtId="176" fontId="2" fillId="3" borderId="0" xfId="0" applyNumberFormat="1" applyFont="1" applyFill="1"/>
    <xf numFmtId="167" fontId="2" fillId="0" borderId="0" xfId="0" applyNumberFormat="1" applyFont="1" applyAlignment="1">
      <alignment horizontal="right" vertical="center"/>
    </xf>
    <xf numFmtId="164" fontId="2" fillId="3" borderId="0" xfId="0" applyNumberFormat="1" applyFont="1" applyFill="1"/>
    <xf numFmtId="9" fontId="2" fillId="2" borderId="0" xfId="2" applyFont="1" applyFill="1"/>
    <xf numFmtId="170" fontId="4" fillId="5" borderId="0" xfId="2" applyNumberFormat="1" applyFont="1" applyFill="1" applyAlignment="1">
      <alignment horizontal="right"/>
    </xf>
    <xf numFmtId="177" fontId="11" fillId="2" borderId="0" xfId="8" applyNumberFormat="1" applyFont="1" applyFill="1"/>
    <xf numFmtId="41" fontId="11" fillId="2" borderId="0" xfId="1" applyFont="1" applyFill="1"/>
    <xf numFmtId="41" fontId="2" fillId="3" borderId="0" xfId="1" applyFont="1" applyFill="1"/>
    <xf numFmtId="170" fontId="2" fillId="3" borderId="0" xfId="0" applyNumberFormat="1" applyFont="1" applyFill="1" applyAlignment="1">
      <alignment horizontal="right"/>
    </xf>
    <xf numFmtId="168" fontId="2" fillId="2" borderId="0" xfId="1" applyNumberFormat="1" applyFont="1" applyFill="1" applyAlignment="1">
      <alignment horizontal="right"/>
    </xf>
    <xf numFmtId="0" fontId="2" fillId="3" borderId="0" xfId="0" applyFont="1" applyFill="1" applyAlignment="1">
      <alignment horizontal="center" wrapText="1"/>
    </xf>
    <xf numFmtId="3" fontId="4" fillId="5" borderId="0" xfId="0" applyNumberFormat="1" applyFont="1" applyFill="1"/>
    <xf numFmtId="0" fontId="2" fillId="3" borderId="0" xfId="0" applyFont="1" applyFill="1" applyAlignment="1"/>
    <xf numFmtId="167" fontId="4" fillId="5" borderId="0" xfId="0" applyNumberFormat="1" applyFont="1" applyFill="1" applyAlignment="1">
      <alignment vertical="center"/>
    </xf>
    <xf numFmtId="175" fontId="2" fillId="2" borderId="0" xfId="0" applyNumberFormat="1" applyFont="1" applyFill="1" applyAlignment="1">
      <alignment vertical="center"/>
    </xf>
    <xf numFmtId="0" fontId="2" fillId="3" borderId="0" xfId="0" applyFont="1" applyFill="1" applyAlignment="1">
      <alignment vertical="center"/>
    </xf>
    <xf numFmtId="167" fontId="2" fillId="2" borderId="0" xfId="0" applyNumberFormat="1" applyFont="1" applyFill="1" applyAlignment="1">
      <alignment vertical="center"/>
    </xf>
    <xf numFmtId="167" fontId="4" fillId="5" borderId="0" xfId="0" applyNumberFormat="1" applyFont="1" applyFill="1" applyAlignment="1"/>
    <xf numFmtId="43" fontId="2" fillId="3" borderId="0" xfId="0" applyNumberFormat="1" applyFont="1" applyFill="1" applyAlignment="1"/>
    <xf numFmtId="167" fontId="4" fillId="4" borderId="0" xfId="0" applyNumberFormat="1" applyFont="1" applyFill="1" applyAlignment="1"/>
    <xf numFmtId="0" fontId="2" fillId="3" borderId="0" xfId="0" applyFont="1" applyFill="1" applyAlignment="1">
      <alignment horizontal="left"/>
    </xf>
    <xf numFmtId="166" fontId="2" fillId="2" borderId="0" xfId="0" applyNumberFormat="1" applyFont="1" applyFill="1" applyAlignment="1">
      <alignment vertical="center"/>
    </xf>
    <xf numFmtId="168" fontId="2" fillId="0" borderId="0" xfId="1" applyNumberFormat="1" applyFont="1" applyFill="1"/>
    <xf numFmtId="167" fontId="4" fillId="5" borderId="0" xfId="0" applyNumberFormat="1" applyFont="1" applyFill="1" applyAlignment="1">
      <alignment horizontal="right"/>
    </xf>
    <xf numFmtId="175" fontId="2" fillId="2" borderId="0" xfId="0" applyNumberFormat="1" applyFont="1" applyFill="1" applyAlignment="1">
      <alignment horizontal="right"/>
    </xf>
    <xf numFmtId="166" fontId="2" fillId="2" borderId="0" xfId="0" applyNumberFormat="1" applyFont="1" applyFill="1" applyAlignment="1">
      <alignment horizontal="right"/>
    </xf>
    <xf numFmtId="0" fontId="2" fillId="3" borderId="0" xfId="0" applyFont="1" applyFill="1" applyAlignment="1">
      <alignment horizontal="right"/>
    </xf>
    <xf numFmtId="43" fontId="2" fillId="3" borderId="0" xfId="0" applyNumberFormat="1" applyFont="1" applyFill="1" applyAlignment="1">
      <alignment horizontal="right"/>
    </xf>
    <xf numFmtId="167" fontId="4" fillId="4" borderId="0" xfId="0" applyNumberFormat="1" applyFont="1" applyFill="1" applyAlignment="1">
      <alignment horizontal="right"/>
    </xf>
    <xf numFmtId="9" fontId="2" fillId="3" borderId="0" xfId="2" applyFont="1" applyFill="1" applyAlignment="1">
      <alignment horizontal="center" wrapText="1"/>
    </xf>
    <xf numFmtId="0" fontId="2" fillId="3" borderId="0" xfId="2" applyNumberFormat="1" applyFont="1" applyFill="1"/>
    <xf numFmtId="0" fontId="4" fillId="4" borderId="0" xfId="0" applyFont="1" applyFill="1" applyAlignment="1">
      <alignment horizontal="center" vertical="center"/>
    </xf>
    <xf numFmtId="169" fontId="4" fillId="4" borderId="0" xfId="9" applyNumberFormat="1" applyFont="1" applyFill="1" applyAlignment="1">
      <alignment horizontal="center" vertical="center"/>
    </xf>
    <xf numFmtId="0" fontId="4" fillId="4" borderId="0" xfId="0" applyFont="1" applyFill="1" applyAlignment="1">
      <alignment vertical="center"/>
    </xf>
    <xf numFmtId="0" fontId="2" fillId="3" borderId="0" xfId="0" applyFont="1" applyFill="1" applyAlignment="1">
      <alignment horizontal="left" vertical="top" wrapText="1"/>
    </xf>
    <xf numFmtId="0" fontId="4" fillId="4" borderId="0" xfId="0" applyFont="1" applyFill="1" applyAlignment="1">
      <alignment horizontal="center" vertical="center" wrapText="1"/>
    </xf>
    <xf numFmtId="0" fontId="2" fillId="3" borderId="0" xfId="0" applyFont="1" applyFill="1" applyAlignment="1">
      <alignment horizontal="left" vertical="center" wrapText="1"/>
    </xf>
    <xf numFmtId="49" fontId="4" fillId="4" borderId="0" xfId="0" applyNumberFormat="1" applyFont="1" applyFill="1" applyAlignment="1">
      <alignment horizontal="center" vertical="center"/>
    </xf>
    <xf numFmtId="0" fontId="12" fillId="3" borderId="0" xfId="0" applyFont="1" applyFill="1" applyAlignment="1">
      <alignment horizontal="left" vertical="top" wrapText="1"/>
    </xf>
    <xf numFmtId="0" fontId="2" fillId="3" borderId="0" xfId="0" applyFont="1" applyFill="1" applyAlignment="1">
      <alignment horizontal="left" vertical="top"/>
    </xf>
  </cellXfs>
  <cellStyles count="4393">
    <cellStyle name="_x000a_386grabber=M" xfId="67" xr:uid="{024583CC-12A9-4F47-8E95-18C8D291A286}"/>
    <cellStyle name="=C:\WINNT\SYSTEM32\COMMAND.COM" xfId="68" xr:uid="{A2263BD3-653B-4B53-8057-A604933A2DD0}"/>
    <cellStyle name="20% - Accent1 2" xfId="69" xr:uid="{73728C5F-AE5A-4331-8C64-F9A3EEC0E110}"/>
    <cellStyle name="20% - Accent1_IFRS MARZ-JUN-DIC DTT" xfId="70" xr:uid="{D5B98390-54EE-4165-862D-2EE0E3A1E29B}"/>
    <cellStyle name="20% - Accent2 2" xfId="71" xr:uid="{6D4408FC-4BE2-4A27-8F3B-66DC3ECD4E34}"/>
    <cellStyle name="20% - Accent2_IFRS MARZ-JUN-DIC DTT" xfId="72" xr:uid="{B0E043D1-7AB8-4CE6-979B-A07DDBAB1ACC}"/>
    <cellStyle name="20% - Accent3 2" xfId="73" xr:uid="{5E114DBD-7AD8-4740-B200-461200601B03}"/>
    <cellStyle name="20% - Accent3_IFRS MARZ-JUN-DIC DTT" xfId="74" xr:uid="{3DBE071B-2B1E-4469-A97A-49FFB04D1DFC}"/>
    <cellStyle name="20% - Accent4 2" xfId="75" xr:uid="{250A73DC-627F-4E31-A83A-5AE7F3AFD03D}"/>
    <cellStyle name="20% - Accent4_IFRS MARZ-JUN-DIC DTT" xfId="76" xr:uid="{DB5F0D6D-6B20-4A68-9BB3-87C4F066A20D}"/>
    <cellStyle name="20% - Accent5 2" xfId="77" xr:uid="{8B1E5901-C861-478F-81E3-BB40A71F0F5A}"/>
    <cellStyle name="20% - Accent5_IFRS MARZ-JUN-DIC DTT" xfId="78" xr:uid="{0F90E282-4C04-49C6-9B68-6293FF031184}"/>
    <cellStyle name="20% - Accent6 2" xfId="79" xr:uid="{A43B5E17-2A06-4B50-9AB6-6709C8FA11BD}"/>
    <cellStyle name="20% - Accent6_IFRS MARZ-JUN-DIC DTT" xfId="80" xr:uid="{795658F0-8B9D-45D7-B146-99A5CF387506}"/>
    <cellStyle name="20% - Énfasis1" xfId="39" builtinId="30" customBuiltin="1"/>
    <cellStyle name="20% - Énfasis2" xfId="42" builtinId="34" customBuiltin="1"/>
    <cellStyle name="20% - Énfasis3" xfId="45" builtinId="38" customBuiltin="1"/>
    <cellStyle name="20% - Énfasis4" xfId="48" builtinId="42" customBuiltin="1"/>
    <cellStyle name="20% - Énfasis5" xfId="51" builtinId="46" customBuiltin="1"/>
    <cellStyle name="20% - Énfasis6" xfId="54" builtinId="50" customBuiltin="1"/>
    <cellStyle name="40% - Accent1 2" xfId="81" xr:uid="{8D09B795-440B-470C-89CA-972695EBC230}"/>
    <cellStyle name="40% - Accent1_IFRS MARZ-JUN-DIC DTT" xfId="82" xr:uid="{1D561CD5-F7FF-4BD8-879C-D47A5E0A5EDE}"/>
    <cellStyle name="40% - Accent2 2" xfId="83" xr:uid="{5E26EA62-BEBC-41C9-AA7E-902810170E9F}"/>
    <cellStyle name="40% - Accent2_IFRS MARZ-JUN-DIC DTT" xfId="84" xr:uid="{1496B1CD-5DCD-41E6-8092-097C4E60E9EE}"/>
    <cellStyle name="40% - Accent3 2" xfId="85" xr:uid="{3219BB28-6D8E-4E44-A68A-0351411AAA94}"/>
    <cellStyle name="40% - Accent3_IFRS MARZ-JUN-DIC DTT" xfId="86" xr:uid="{CFC1DDF0-3858-426B-A12E-85797F60B059}"/>
    <cellStyle name="40% - Accent4 2" xfId="87" xr:uid="{C74F9FD9-D83C-4DD9-B312-0B610EE2C798}"/>
    <cellStyle name="40% - Accent4_IFRS MARZ-JUN-DIC DTT" xfId="88" xr:uid="{5CA6BAAA-D90D-44A3-A1D8-91A9053C800E}"/>
    <cellStyle name="40% - Accent5 2" xfId="89" xr:uid="{7B27F748-55D8-407F-A6A5-D298F5B6F3EB}"/>
    <cellStyle name="40% - Accent5_IFRS MARZ-JUN-DIC DTT" xfId="90" xr:uid="{E5887683-5185-4317-ACC9-47EF2B81BCB9}"/>
    <cellStyle name="40% - Accent6 2" xfId="91" xr:uid="{D9DDDFD3-FBB2-47A0-A188-0596D4A17D53}"/>
    <cellStyle name="40% - Accent6_IFRS MARZ-JUN-DIC DTT" xfId="92" xr:uid="{248E76F8-95CC-4F54-B6A9-B30BC7415F4E}"/>
    <cellStyle name="40% - Énfasis1" xfId="40" builtinId="31" customBuiltin="1"/>
    <cellStyle name="40% - Énfasis2" xfId="43" builtinId="35" customBuiltin="1"/>
    <cellStyle name="40% - Énfasis3" xfId="46" builtinId="39" customBuiltin="1"/>
    <cellStyle name="40% - Énfasis4" xfId="49" builtinId="43" customBuiltin="1"/>
    <cellStyle name="40% - Énfasis5" xfId="52" builtinId="47" customBuiltin="1"/>
    <cellStyle name="40% - Énfasis6" xfId="55" builtinId="51" customBuiltin="1"/>
    <cellStyle name="60% - Accent1 2" xfId="93" xr:uid="{773A8B04-F268-4809-9CD0-F8A68DCB87FB}"/>
    <cellStyle name="60% - Accent1_IFRS MARZ-JUN-DIC DTT" xfId="94" xr:uid="{441D7677-5F56-47E4-80F7-BC3E80CD9BB6}"/>
    <cellStyle name="60% - Accent2 2" xfId="95" xr:uid="{23A76EA5-C919-4C40-B472-5EBE089E5757}"/>
    <cellStyle name="60% - Accent2_IFRS MARZ-JUN-DIC DTT" xfId="96" xr:uid="{1C226E74-93C1-444F-8657-81B8300519B8}"/>
    <cellStyle name="60% - Accent3 2" xfId="97" xr:uid="{82B79324-AA7A-4268-8495-654AE96EC27A}"/>
    <cellStyle name="60% - Accent3_IFRS MARZ-JUN-DIC DTT" xfId="98" xr:uid="{056D4137-12CD-4667-912A-7C471262A36F}"/>
    <cellStyle name="60% - Accent4 2" xfId="99" xr:uid="{3CB6AC5C-2BBA-4635-AAC3-F64C6BE212CD}"/>
    <cellStyle name="60% - Accent4_IFRS MARZ-JUN-DIC DTT" xfId="100" xr:uid="{FFBFD5B6-B943-4766-8F0D-E4255AE6EC15}"/>
    <cellStyle name="60% - Accent5 2" xfId="101" xr:uid="{0274E120-5D81-434A-ADC1-12E11E688C88}"/>
    <cellStyle name="60% - Accent5_IFRS MARZ-JUN-DIC DTT" xfId="102" xr:uid="{1DBA61F7-F29B-493D-B5DF-683F8716B2A9}"/>
    <cellStyle name="60% - Accent6 2" xfId="103" xr:uid="{875777F5-1EE1-4CCE-9836-1B9CAFBD6637}"/>
    <cellStyle name="60% - Accent6_IFRS MARZ-JUN-DIC DTT" xfId="104" xr:uid="{3E73BEFC-590B-4E89-B32B-2CC78FCA2B09}"/>
    <cellStyle name="60% - akcent 1" xfId="65" xr:uid="{BB4B3630-ADC7-4CD1-B452-360932F84DD4}"/>
    <cellStyle name="60% - Énfasis1 2" xfId="630" xr:uid="{8CBF3E8A-CCD2-43FA-AFA0-ADC4EF10F4B9}"/>
    <cellStyle name="60% - Énfasis1 3" xfId="59" xr:uid="{A9EF7289-3D85-4E27-88F4-2E4EB7DD8FA0}"/>
    <cellStyle name="60% - Énfasis2 2" xfId="631" xr:uid="{AEF01933-60E9-46C0-9BB8-5322CD1DCEAD}"/>
    <cellStyle name="60% - Énfasis2 3" xfId="60" xr:uid="{E2B4ADDC-8BA6-4D03-B2E0-9FA1E10FC396}"/>
    <cellStyle name="60% - Énfasis3 2" xfId="632" xr:uid="{08DC1C27-3EAA-4CB1-9051-F8820152D680}"/>
    <cellStyle name="60% - Énfasis3 3" xfId="61" xr:uid="{D06E8DCC-B476-4B8A-9C8A-FCFDF01FE960}"/>
    <cellStyle name="60% - Énfasis4 2" xfId="633" xr:uid="{BF00D0E1-5511-4976-AF6C-E68029B262C4}"/>
    <cellStyle name="60% - Énfasis4 3" xfId="62" xr:uid="{4FE67483-1173-4124-B931-77F94E080A36}"/>
    <cellStyle name="60% - Énfasis5 2" xfId="634" xr:uid="{7F8C114D-E6D4-4C39-BB7D-6686C34E18CD}"/>
    <cellStyle name="60% - Énfasis5 3" xfId="63" xr:uid="{46ABFC00-6B6C-47E0-81DC-684321DC4A26}"/>
    <cellStyle name="60% - Énfasis6 2" xfId="635" xr:uid="{0A0D0357-0BBA-497D-894D-B7A06CF76EF1}"/>
    <cellStyle name="60% - Énfasis6 3" xfId="64" xr:uid="{5A857BDB-1B49-45A3-9E9B-CC87F8137513}"/>
    <cellStyle name="A3 297 x 420 mm" xfId="105" xr:uid="{F2FA0CBF-A8AB-46E0-B1E7-3641F65D25F5}"/>
    <cellStyle name="Accent1 2" xfId="106" xr:uid="{650E4518-3756-41BB-B728-F569A508BAAD}"/>
    <cellStyle name="Accent1_IFRS MARZ-JUN-DIC DTT" xfId="107" xr:uid="{D8610C63-393F-4478-8103-F895447549C5}"/>
    <cellStyle name="Accent2 2" xfId="108" xr:uid="{B62CC9CE-2AC0-4F7D-BF1A-B102588773F4}"/>
    <cellStyle name="Accent2_IFRS MARZ-JUN-DIC DTT" xfId="109" xr:uid="{6EF9A1C7-3C42-43AA-9DAB-24B09D8620EE}"/>
    <cellStyle name="Accent3 2" xfId="110" xr:uid="{47C1329B-34E5-4F1B-92BC-85FEB706AB84}"/>
    <cellStyle name="Accent3_IFRS MARZ-JUN-DIC DTT" xfId="111" xr:uid="{AE1E75CA-0381-431E-A9E3-0262CB0287EC}"/>
    <cellStyle name="Accent4 2" xfId="112" xr:uid="{CAC20F4A-C131-4957-A823-83D942AACD0A}"/>
    <cellStyle name="Accent4_IFRS MARZ-JUN-DIC DTT" xfId="113" xr:uid="{967FFE48-82A6-4732-8C29-B3DBE4C5651B}"/>
    <cellStyle name="Accent5 2" xfId="114" xr:uid="{E7B5ACFC-9612-4BA7-B794-99548EE5D4C3}"/>
    <cellStyle name="Accent5_IFRS MARZ-JUN-DIC DTT" xfId="115" xr:uid="{E4F26408-7F0B-4866-95FC-9FFBD3D774B2}"/>
    <cellStyle name="Accent6 2" xfId="116" xr:uid="{34C01D74-50F7-40A0-B06F-412E169CCDAD}"/>
    <cellStyle name="Accent6_IFRS MARZ-JUN-DIC DTT" xfId="117" xr:uid="{DD879631-3065-4838-9B4A-22537B4680E2}"/>
    <cellStyle name="Bad 2" xfId="118" xr:uid="{213D47AD-41E2-498C-8E55-562A9C2A3BB3}"/>
    <cellStyle name="Bad_IFRS MARZ-JUN-DIC DTT" xfId="119" xr:uid="{EBE6BB8E-77AB-4CCC-ADFF-7DCDF6D257BC}"/>
    <cellStyle name="Bueno" xfId="27" builtinId="26" customBuiltin="1"/>
    <cellStyle name="Cabece - Estilo3" xfId="120" xr:uid="{6D4C0883-6D94-4A37-A1AC-D3680C74FF49}"/>
    <cellStyle name="Cabecera 1" xfId="121" xr:uid="{407C83CC-14F7-4BB4-8BF5-4B5953EA5B54}"/>
    <cellStyle name="Cabecera 2" xfId="122" xr:uid="{473300D6-1A60-402C-87F4-E41CE7B2748C}"/>
    <cellStyle name="Calculation 2" xfId="123" xr:uid="{48F36837-C0B3-457E-AAA8-31B9367E4B0D}"/>
    <cellStyle name="Calculation 2 2" xfId="810" xr:uid="{F6EF44C9-E862-4CEA-B5A3-CCBF2D8FEC88}"/>
    <cellStyle name="Calculation_IFRS MARZ-JUN-DIC DTT" xfId="124" xr:uid="{25FE409F-A6B7-4D9D-9E74-8F204E1248A4}"/>
    <cellStyle name="Cálculo" xfId="31" builtinId="22" customBuiltin="1"/>
    <cellStyle name="Celda de comprobación" xfId="33" builtinId="23" customBuiltin="1"/>
    <cellStyle name="Celda vinculada" xfId="32" builtinId="24" customBuiltin="1"/>
    <cellStyle name="Centered Heading" xfId="125" xr:uid="{9889822C-CD2F-462C-A4CA-4FA5CFBF24F9}"/>
    <cellStyle name="CenterHead" xfId="126" xr:uid="{5526A716-33F6-4406-AD73-9827242CD487}"/>
    <cellStyle name="Check Cell 2" xfId="127" xr:uid="{CE73493C-8F7A-4342-89A5-9AA0AA844103}"/>
    <cellStyle name="Check Cell_IFRS MARZ-JUN-DIC DTT" xfId="128" xr:uid="{AA90FB57-A295-48CA-A329-A01082E3F186}"/>
    <cellStyle name="Column_Title" xfId="129" xr:uid="{671E0AA4-FA43-40D0-BFB3-1780080D01EF}"/>
    <cellStyle name="Comma  - Style1" xfId="130" xr:uid="{CBB1EB69-3C03-4594-8F3C-208D7F175E40}"/>
    <cellStyle name="Comma  - Style2" xfId="131" xr:uid="{DFB7FF5F-9D32-4956-A96B-813D45FB79F1}"/>
    <cellStyle name="Comma  - Style3" xfId="132" xr:uid="{A2B96D3C-FFA2-4371-B5DE-9327D146F39B}"/>
    <cellStyle name="Comma  - Style4" xfId="133" xr:uid="{A60C209D-FDE0-411D-9CDA-90D0E93E918D}"/>
    <cellStyle name="Comma  - Style5" xfId="134" xr:uid="{5979851E-A055-4C9D-A8E7-18D09CB045F1}"/>
    <cellStyle name="Comma  - Style6" xfId="135" xr:uid="{1F7C7A3E-69F9-4B1B-88EC-6A03F47DA397}"/>
    <cellStyle name="Comma  - Style7" xfId="136" xr:uid="{4346C58D-E376-45A1-A4E5-C87FDE35BA5D}"/>
    <cellStyle name="Comma  - Style8" xfId="137" xr:uid="{5FB34F34-5E75-4631-AD03-D9B4D566A179}"/>
    <cellStyle name="Comma %" xfId="138" xr:uid="{625005E4-9452-469F-92C0-03B199C88D73}"/>
    <cellStyle name="Comma [0]_resultado" xfId="6" xr:uid="{00000000-0005-0000-0000-000000000000}"/>
    <cellStyle name="Comma 0.0" xfId="139" xr:uid="{9777278B-63C5-490B-825A-EFF195BA98C7}"/>
    <cellStyle name="Comma 0.0%" xfId="140" xr:uid="{0A9C8353-344E-41AB-A0BB-033F364F2E89}"/>
    <cellStyle name="Comma 0.0_Caso 10" xfId="141" xr:uid="{B7C1F2A2-CE52-4AA0-B82F-04109C0819C3}"/>
    <cellStyle name="Comma 0.00" xfId="142" xr:uid="{F44B3923-982B-4CEC-8063-3B4B4173F89F}"/>
    <cellStyle name="Comma 0.00%" xfId="143" xr:uid="{395F1E9A-1897-4039-AFB6-67ECDAA9BB13}"/>
    <cellStyle name="Comma 0.00_Caso 10" xfId="144" xr:uid="{4C6C75F4-D1E3-45A7-B05C-945C101C9C2C}"/>
    <cellStyle name="Comma 0.000" xfId="145" xr:uid="{2888F25B-EBBB-4E37-B2A0-B4B1E696B639}"/>
    <cellStyle name="Comma 0.000%" xfId="146" xr:uid="{0CD3E9BE-82A8-46FF-B5E4-19229F198740}"/>
    <cellStyle name="Comma 0.000_Caso 10" xfId="147" xr:uid="{113DD4DF-7406-4C03-AA25-8457E9FB5F9B}"/>
    <cellStyle name="Comma 10" xfId="148" xr:uid="{E74ACBAA-5336-462B-A647-CF3CE498BC61}"/>
    <cellStyle name="Comma 11" xfId="149" xr:uid="{8055D939-EEC8-4BC0-AB84-3C6D5AE9D3D0}"/>
    <cellStyle name="Comma 12" xfId="150" xr:uid="{489A52C0-6BE1-4027-973F-352EADF0A788}"/>
    <cellStyle name="Comma 13" xfId="151" xr:uid="{F0019965-6110-4488-B5BB-B266137E6589}"/>
    <cellStyle name="Comma 14" xfId="152" xr:uid="{5EB7A4A0-8D2F-4611-918B-A830795B6CFD}"/>
    <cellStyle name="Comma 15" xfId="153" xr:uid="{010DA5AD-5B7D-4AEA-821A-F7C75FA1FC71}"/>
    <cellStyle name="Comma 16" xfId="154" xr:uid="{901D676A-D63F-4A77-8A12-D3927B11A912}"/>
    <cellStyle name="Comma 16 2" xfId="155" xr:uid="{8D17F1E3-580C-494B-A644-705068BA4E85}"/>
    <cellStyle name="Comma 16 2 10" xfId="811" xr:uid="{D63F1ABB-B691-43B5-9650-CDE8E8C03D8F}"/>
    <cellStyle name="Comma 16 2 10 2" xfId="2399" xr:uid="{A655CF7F-A16E-4FE0-A226-4F0DF4574774}"/>
    <cellStyle name="Comma 16 2 10 2 2" xfId="3981" xr:uid="{FBE483F0-ACCA-440C-993E-D8766E165FC8}"/>
    <cellStyle name="Comma 16 2 10 3" xfId="1608" xr:uid="{E605DE58-E988-4233-BE66-B7B20E6D0FFA}"/>
    <cellStyle name="Comma 16 2 10 4" xfId="3190" xr:uid="{187804F0-5F90-4F3F-B4C7-8852B3BA9F7A}"/>
    <cellStyle name="Comma 16 2 11" xfId="2004" xr:uid="{B5761ACD-BBF9-4154-BC20-80660FF803FF}"/>
    <cellStyle name="Comma 16 2 11 2" xfId="3586" xr:uid="{6CE3DD94-104A-4D8D-8248-5EDC9F9203C0}"/>
    <cellStyle name="Comma 16 2 12" xfId="1214" xr:uid="{B0BB3099-44A1-420A-8C4C-4FD40D0C688C}"/>
    <cellStyle name="Comma 16 2 13" xfId="2795" xr:uid="{18964646-286D-4667-902C-BDAE622BFE98}"/>
    <cellStyle name="Comma 16 2 2" xfId="333" xr:uid="{F24E662E-A0C2-4EF5-B7AE-C12837199869}"/>
    <cellStyle name="Comma 16 2 2 10" xfId="1217" xr:uid="{0F122640-FF03-4C0B-9D43-3A9056053157}"/>
    <cellStyle name="Comma 16 2 2 11" xfId="2799" xr:uid="{26ED3867-3FB6-4868-90A5-71CF373B957F}"/>
    <cellStyle name="Comma 16 2 2 2" xfId="352" xr:uid="{09102A85-4837-46ED-82C4-9D3E194FD135}"/>
    <cellStyle name="Comma 16 2 2 2 10" xfId="2812" xr:uid="{037E8E1B-A31C-48B8-A4E4-14807462EBD8}"/>
    <cellStyle name="Comma 16 2 2 2 2" xfId="430" xr:uid="{2DC04781-6043-4E18-911F-D8B7BFDD428F}"/>
    <cellStyle name="Comma 16 2 2 2 2 2" xfId="542" xr:uid="{58BD8A9B-FEF1-45CA-BBE2-580747B18532}"/>
    <cellStyle name="Comma 16 2 2 2 2 2 2" xfId="770" xr:uid="{90EEE3AF-9662-4DBC-93FD-C60B9DE54DB3}"/>
    <cellStyle name="Comma 16 2 2 2 2 2 2 2" xfId="1170" xr:uid="{20EC55AE-6A6A-46C5-B113-3A20F731B81C}"/>
    <cellStyle name="Comma 16 2 2 2 2 2 2 2 2" xfId="2753" xr:uid="{4206F542-D187-45AA-983F-6C1439DEBDA8}"/>
    <cellStyle name="Comma 16 2 2 2 2 2 2 2 2 2" xfId="4335" xr:uid="{176BDC58-92B9-4BB9-979A-6B2543FDC060}"/>
    <cellStyle name="Comma 16 2 2 2 2 2 2 2 3" xfId="1962" xr:uid="{3F735437-BBD7-4D6B-AC46-8FD0090E9EC8}"/>
    <cellStyle name="Comma 16 2 2 2 2 2 2 2 4" xfId="3544" xr:uid="{4DF0EB27-D3A5-4AD6-A62E-E7A5F83E84A4}"/>
    <cellStyle name="Comma 16 2 2 2 2 2 2 3" xfId="2359" xr:uid="{82B7CD64-4BF1-4AE1-A23B-9EBAB5CCBD43}"/>
    <cellStyle name="Comma 16 2 2 2 2 2 2 3 2" xfId="3941" xr:uid="{69344387-1F20-4F78-B52C-A75E8DA94FF5}"/>
    <cellStyle name="Comma 16 2 2 2 2 2 2 4" xfId="1568" xr:uid="{98E125B7-7426-40BE-8BE8-456D73A2C2F4}"/>
    <cellStyle name="Comma 16 2 2 2 2 2 2 5" xfId="3150" xr:uid="{1BB8EAB5-D5F7-4373-BE34-AB877A8922B9}"/>
    <cellStyle name="Comma 16 2 2 2 2 2 3" xfId="949" xr:uid="{5A56CBA7-9BE2-4E04-8439-1EE92BEAEC45}"/>
    <cellStyle name="Comma 16 2 2 2 2 2 3 2" xfId="2532" xr:uid="{FA94D05F-A29C-4DE9-808A-9586BA0A64A9}"/>
    <cellStyle name="Comma 16 2 2 2 2 2 3 2 2" xfId="4114" xr:uid="{4DA511CE-1C5D-47E9-A37A-F367CAFB935E}"/>
    <cellStyle name="Comma 16 2 2 2 2 2 3 3" xfId="1741" xr:uid="{9D2423D4-7FCA-4D58-B7D4-B6829D38B638}"/>
    <cellStyle name="Comma 16 2 2 2 2 2 3 4" xfId="3323" xr:uid="{C7319733-7B64-440B-825B-6CDACE68B860}"/>
    <cellStyle name="Comma 16 2 2 2 2 2 4" xfId="2138" xr:uid="{1CDFE1CF-28AE-4B1C-8FAB-CD96F679DB53}"/>
    <cellStyle name="Comma 16 2 2 2 2 2 4 2" xfId="3720" xr:uid="{1A8CC300-5DB3-42EA-85E0-C595D092E3B7}"/>
    <cellStyle name="Comma 16 2 2 2 2 2 5" xfId="1347" xr:uid="{E6BB428F-CE2C-471C-B9D6-BC65AAD6ADB3}"/>
    <cellStyle name="Comma 16 2 2 2 2 2 6" xfId="2929" xr:uid="{73C8C1B1-5320-486C-9C0D-A30C86205AEB}"/>
    <cellStyle name="Comma 16 2 2 2 2 3" xfId="619" xr:uid="{A9C57E56-6C1F-45D1-B52D-88C84FB4E396}"/>
    <cellStyle name="Comma 16 2 2 2 2 3 2" xfId="1026" xr:uid="{0B57D8D5-3A7B-4873-9ABF-6B4B1F822895}"/>
    <cellStyle name="Comma 16 2 2 2 2 3 2 2" xfId="2609" xr:uid="{64955F5B-4364-48E2-96F7-E9DFDF6155EF}"/>
    <cellStyle name="Comma 16 2 2 2 2 3 2 2 2" xfId="4191" xr:uid="{B44EAC83-688D-4BE6-96DC-301244A32982}"/>
    <cellStyle name="Comma 16 2 2 2 2 3 2 3" xfId="1818" xr:uid="{5603EB7E-F317-4F8E-8DF4-1A07D21A3AAE}"/>
    <cellStyle name="Comma 16 2 2 2 2 3 2 4" xfId="3400" xr:uid="{2B38F1AA-BFD8-4B3E-BA85-2D8BE8B0D5B0}"/>
    <cellStyle name="Comma 16 2 2 2 2 3 3" xfId="2215" xr:uid="{5EF594D2-DAB7-4FF1-8167-CDFAA4BE0DCE}"/>
    <cellStyle name="Comma 16 2 2 2 2 3 3 2" xfId="3797" xr:uid="{E475C101-9275-45E1-8B23-A1C9078FFB04}"/>
    <cellStyle name="Comma 16 2 2 2 2 3 4" xfId="1424" xr:uid="{F4BA4511-ADB3-404D-A386-F485699AE3D0}"/>
    <cellStyle name="Comma 16 2 2 2 2 3 5" xfId="3006" xr:uid="{A7AF70CC-ADED-4AF1-BFFA-64FF8D740A57}"/>
    <cellStyle name="Comma 16 2 2 2 2 4" xfId="694" xr:uid="{B2876DBB-A340-4582-888B-946B9D4A9CFB}"/>
    <cellStyle name="Comma 16 2 2 2 2 4 2" xfId="1094" xr:uid="{FA9F5121-B7CE-4498-8364-1835BDC0C3AC}"/>
    <cellStyle name="Comma 16 2 2 2 2 4 2 2" xfId="2677" xr:uid="{05B85ECA-5CD0-4523-915F-993A37B88CDC}"/>
    <cellStyle name="Comma 16 2 2 2 2 4 2 2 2" xfId="4259" xr:uid="{5D041498-6488-410A-ACA6-DBF47394352B}"/>
    <cellStyle name="Comma 16 2 2 2 2 4 2 3" xfId="1886" xr:uid="{2F0C7F47-767E-4F3A-8209-8B799581ADD0}"/>
    <cellStyle name="Comma 16 2 2 2 2 4 2 4" xfId="3468" xr:uid="{AC69A840-135F-4C15-9F0C-E45DA5E34787}"/>
    <cellStyle name="Comma 16 2 2 2 2 4 3" xfId="2283" xr:uid="{33123DD3-AFEA-428E-9488-71F04B1CE5EA}"/>
    <cellStyle name="Comma 16 2 2 2 2 4 3 2" xfId="3865" xr:uid="{A4D45D3A-49D0-4C99-9C0C-6D38EF84F2ED}"/>
    <cellStyle name="Comma 16 2 2 2 2 4 4" xfId="1492" xr:uid="{637BE892-3819-4B3F-95A8-3F48A5EF97D7}"/>
    <cellStyle name="Comma 16 2 2 2 2 4 5" xfId="3074" xr:uid="{1F40273D-D808-4AAA-8F4C-C652003C1E37}"/>
    <cellStyle name="Comma 16 2 2 2 2 5" xfId="873" xr:uid="{06B6A724-78DB-41D5-ABD1-64AAB294950C}"/>
    <cellStyle name="Comma 16 2 2 2 2 5 2" xfId="2456" xr:uid="{BB561925-5776-4337-B8DC-BB96DF222B1D}"/>
    <cellStyle name="Comma 16 2 2 2 2 5 2 2" xfId="4038" xr:uid="{68784089-1F57-4A13-BC6D-1658EFE92421}"/>
    <cellStyle name="Comma 16 2 2 2 2 5 3" xfId="1665" xr:uid="{BC94F6C5-18BB-4833-BC3E-6ABA2E77BE98}"/>
    <cellStyle name="Comma 16 2 2 2 2 5 4" xfId="3247" xr:uid="{B4C71025-0129-448E-983E-B010D16121FB}"/>
    <cellStyle name="Comma 16 2 2 2 2 6" xfId="2062" xr:uid="{0EAD720C-8B7A-432F-87B5-AF474AC14706}"/>
    <cellStyle name="Comma 16 2 2 2 2 6 2" xfId="3644" xr:uid="{6BCF4CA3-3C4A-4D1C-8656-FD771EBACB8D}"/>
    <cellStyle name="Comma 16 2 2 2 2 7" xfId="1271" xr:uid="{55B53B7F-41CE-47E9-B6B7-C753F34B1BCF}"/>
    <cellStyle name="Comma 16 2 2 2 2 8" xfId="2853" xr:uid="{EE599634-1286-495C-AC5F-1DB34B5B92E8}"/>
    <cellStyle name="Comma 16 2 2 2 3" xfId="501" xr:uid="{555D7F73-EC0E-4857-92D6-A9C936FEF21A}"/>
    <cellStyle name="Comma 16 2 2 2 3 2" xfId="729" xr:uid="{3C1904ED-4877-485A-8649-76AA30F1CBBA}"/>
    <cellStyle name="Comma 16 2 2 2 3 2 2" xfId="1129" xr:uid="{B93D6EE9-47CB-417D-9891-E24651F90F8E}"/>
    <cellStyle name="Comma 16 2 2 2 3 2 2 2" xfId="2712" xr:uid="{A81E6477-4CC9-4463-B6CA-29913CCD4954}"/>
    <cellStyle name="Comma 16 2 2 2 3 2 2 2 2" xfId="4294" xr:uid="{CA31F8C4-154C-471F-9AA9-D4684E56F666}"/>
    <cellStyle name="Comma 16 2 2 2 3 2 2 3" xfId="1921" xr:uid="{13F1C31C-C326-494F-8336-8A8F4F646BA0}"/>
    <cellStyle name="Comma 16 2 2 2 3 2 2 4" xfId="3503" xr:uid="{0106AA22-980D-4756-87BE-F6D390A3635E}"/>
    <cellStyle name="Comma 16 2 2 2 3 2 3" xfId="2318" xr:uid="{605DC17C-F73B-449C-BC7F-9F3D742FC28F}"/>
    <cellStyle name="Comma 16 2 2 2 3 2 3 2" xfId="3900" xr:uid="{F73FC68C-E9E7-4436-A6AC-B276D624B539}"/>
    <cellStyle name="Comma 16 2 2 2 3 2 4" xfId="1527" xr:uid="{40EA7AD3-9296-40E9-876F-14A0E1CB7A15}"/>
    <cellStyle name="Comma 16 2 2 2 3 2 5" xfId="3109" xr:uid="{E896688E-FF44-4764-8852-C4A5AB9412CA}"/>
    <cellStyle name="Comma 16 2 2 2 3 3" xfId="908" xr:uid="{5B7112FA-EC9B-43D3-8CDB-4052FDCF3E94}"/>
    <cellStyle name="Comma 16 2 2 2 3 3 2" xfId="2491" xr:uid="{35D3D80A-BC25-49EE-9DD4-DC4F0FB48495}"/>
    <cellStyle name="Comma 16 2 2 2 3 3 2 2" xfId="4073" xr:uid="{B98F0E1B-CDA6-4402-8CC3-8747C837A741}"/>
    <cellStyle name="Comma 16 2 2 2 3 3 3" xfId="1700" xr:uid="{739E881C-DB16-4484-B650-3ABED536D190}"/>
    <cellStyle name="Comma 16 2 2 2 3 3 4" xfId="3282" xr:uid="{40242348-8BC5-4F39-B8D7-4E24D95BC534}"/>
    <cellStyle name="Comma 16 2 2 2 3 4" xfId="2097" xr:uid="{62FD2536-3D10-4016-8A55-80A9E38B2937}"/>
    <cellStyle name="Comma 16 2 2 2 3 4 2" xfId="3679" xr:uid="{342808E6-0EC9-47D4-9169-E9C09C2E68B5}"/>
    <cellStyle name="Comma 16 2 2 2 3 5" xfId="1306" xr:uid="{20030CC1-1B4C-44C9-94B4-071FBFDAE180}"/>
    <cellStyle name="Comma 16 2 2 2 3 6" xfId="2888" xr:uid="{F1A0C41C-27B7-442C-A652-5052DF339BE3}"/>
    <cellStyle name="Comma 16 2 2 2 4" xfId="578" xr:uid="{2705473C-E720-41D4-BA0B-7F86E807B88C}"/>
    <cellStyle name="Comma 16 2 2 2 4 2" xfId="985" xr:uid="{DBE07E14-656A-42BE-AED7-65A8552F9B3C}"/>
    <cellStyle name="Comma 16 2 2 2 4 2 2" xfId="2568" xr:uid="{217DE353-54D8-4205-9861-380AF81C2531}"/>
    <cellStyle name="Comma 16 2 2 2 4 2 2 2" xfId="4150" xr:uid="{38E19BD1-41CE-41F7-93EA-6A4512F1D036}"/>
    <cellStyle name="Comma 16 2 2 2 4 2 3" xfId="1777" xr:uid="{466DD1A4-ECD0-41C2-A225-0DA458F3C77E}"/>
    <cellStyle name="Comma 16 2 2 2 4 2 4" xfId="3359" xr:uid="{F8E738AF-C163-4DAF-A695-66372A5ED229}"/>
    <cellStyle name="Comma 16 2 2 2 4 3" xfId="2174" xr:uid="{964A00C2-026F-407C-9B75-813FF830B33A}"/>
    <cellStyle name="Comma 16 2 2 2 4 3 2" xfId="3756" xr:uid="{E3EFE41D-E24D-404F-8BBD-76025CAA9B9F}"/>
    <cellStyle name="Comma 16 2 2 2 4 4" xfId="1383" xr:uid="{6F1A2561-7025-47F4-9F3D-EE1987CB31D9}"/>
    <cellStyle name="Comma 16 2 2 2 4 5" xfId="2965" xr:uid="{4BAAA7DA-90B1-4AE7-B010-0A5738260E5E}"/>
    <cellStyle name="Comma 16 2 2 2 5" xfId="653" xr:uid="{B0C1B408-5F1D-4AA8-9E4A-A9A758B4B3EC}"/>
    <cellStyle name="Comma 16 2 2 2 5 2" xfId="1053" xr:uid="{7E525E07-E354-4551-93E7-DDBC2142E761}"/>
    <cellStyle name="Comma 16 2 2 2 5 2 2" xfId="2636" xr:uid="{9EC27E9A-71F2-409D-AECF-3E5BFC6108F7}"/>
    <cellStyle name="Comma 16 2 2 2 5 2 2 2" xfId="4218" xr:uid="{1D8EE0FE-6C67-41E7-96C5-E63C78A9EC8D}"/>
    <cellStyle name="Comma 16 2 2 2 5 2 3" xfId="1845" xr:uid="{283D8945-56EE-44A3-BA77-70063DF02D7C}"/>
    <cellStyle name="Comma 16 2 2 2 5 2 4" xfId="3427" xr:uid="{62CA2391-1033-497E-8F71-001489D3C41A}"/>
    <cellStyle name="Comma 16 2 2 2 5 3" xfId="2242" xr:uid="{62C6F629-FA04-4710-A583-7BBAB91C8CA7}"/>
    <cellStyle name="Comma 16 2 2 2 5 3 2" xfId="3824" xr:uid="{5741AA37-6CB6-463E-A732-E5C6AAF97DD1}"/>
    <cellStyle name="Comma 16 2 2 2 5 4" xfId="1451" xr:uid="{342D0ED1-0B09-4C96-981A-4C822920093E}"/>
    <cellStyle name="Comma 16 2 2 2 5 5" xfId="3033" xr:uid="{57D20CF8-CCAA-4D01-A617-380FE969528F}"/>
    <cellStyle name="Comma 16 2 2 2 6" xfId="805" xr:uid="{D0A165AF-A215-40B5-B924-F703F2F190CC}"/>
    <cellStyle name="Comma 16 2 2 2 6 2" xfId="1205" xr:uid="{1A282B89-1010-44BD-8456-41AF4CC54FE4}"/>
    <cellStyle name="Comma 16 2 2 2 6 2 2" xfId="2788" xr:uid="{4F9064B2-5EDE-4E06-8204-DB52C9F8BC67}"/>
    <cellStyle name="Comma 16 2 2 2 6 2 2 2" xfId="4370" xr:uid="{83DCFD0E-5FA7-4EF7-BF42-1A2AA3BA8DDE}"/>
    <cellStyle name="Comma 16 2 2 2 6 2 3" xfId="1997" xr:uid="{247C6881-B96E-4B0E-ABEC-4CF3F51EA85D}"/>
    <cellStyle name="Comma 16 2 2 2 6 2 4" xfId="3579" xr:uid="{C9F7FA99-8A11-4E5E-95AD-766258247E27}"/>
    <cellStyle name="Comma 16 2 2 2 6 3" xfId="2394" xr:uid="{4CD6E63E-B6E4-4B83-B6D5-4E85B5ECBAB9}"/>
    <cellStyle name="Comma 16 2 2 2 6 3 2" xfId="3976" xr:uid="{EC05E509-C42B-45A1-BE7B-824B0AE1FD1B}"/>
    <cellStyle name="Comma 16 2 2 2 6 4" xfId="1603" xr:uid="{97553E19-7B99-4932-9E01-576B6F1DA9A0}"/>
    <cellStyle name="Comma 16 2 2 2 6 5" xfId="3185" xr:uid="{0FB0CF7F-240E-457F-9447-E7658E5587BF}"/>
    <cellStyle name="Comma 16 2 2 2 7" xfId="832" xr:uid="{627D5B89-F31A-40F0-9207-7CF3EF03C2A8}"/>
    <cellStyle name="Comma 16 2 2 2 7 2" xfId="2415" xr:uid="{654784AE-CFF8-4E9B-99A4-D52A6F7A553A}"/>
    <cellStyle name="Comma 16 2 2 2 7 2 2" xfId="3997" xr:uid="{92965270-6BE5-4C0A-8D92-F5A558FA8F3C}"/>
    <cellStyle name="Comma 16 2 2 2 7 3" xfId="1624" xr:uid="{9797C3E6-8FD1-43CB-AE26-499A05B455F3}"/>
    <cellStyle name="Comma 16 2 2 2 7 4" xfId="3206" xr:uid="{935C5195-FCCD-4FDD-B779-3DB27A970FAB}"/>
    <cellStyle name="Comma 16 2 2 2 8" xfId="2021" xr:uid="{A2C56992-A7F8-405B-9387-B6EC033569F6}"/>
    <cellStyle name="Comma 16 2 2 2 8 2" xfId="3603" xr:uid="{169B76C4-8E93-4D92-A598-9D3A1943D4A6}"/>
    <cellStyle name="Comma 16 2 2 2 9" xfId="1230" xr:uid="{A0D1A2C5-C110-46B4-87E6-BE5E87B2A2E9}"/>
    <cellStyle name="Comma 16 2 2 3" xfId="411" xr:uid="{4B1F8202-4C54-472F-8EF8-8253AD9CF9AC}"/>
    <cellStyle name="Comma 16 2 2 3 2" xfId="529" xr:uid="{F196710A-A210-41C5-B5BA-82EB21C0AAB4}"/>
    <cellStyle name="Comma 16 2 2 3 2 2" xfId="757" xr:uid="{B6ACBBA3-4944-4C22-B813-282022599FB7}"/>
    <cellStyle name="Comma 16 2 2 3 2 2 2" xfId="1157" xr:uid="{3ABF37FB-B605-4BE0-9A35-6872CCD8D2F0}"/>
    <cellStyle name="Comma 16 2 2 3 2 2 2 2" xfId="2740" xr:uid="{CC5C5207-F2F6-442C-B2A5-3A1440F916D4}"/>
    <cellStyle name="Comma 16 2 2 3 2 2 2 2 2" xfId="4322" xr:uid="{2CEEE4B5-7888-44D1-9CC3-F5927245AB31}"/>
    <cellStyle name="Comma 16 2 2 3 2 2 2 3" xfId="1949" xr:uid="{9749F247-5EA8-405D-940C-65C81936B1D7}"/>
    <cellStyle name="Comma 16 2 2 3 2 2 2 4" xfId="3531" xr:uid="{5CCB79F9-F015-4E6B-B27F-D2FFA5F282B7}"/>
    <cellStyle name="Comma 16 2 2 3 2 2 3" xfId="2346" xr:uid="{5F8F3626-EE57-45C9-9034-773CD69B4C49}"/>
    <cellStyle name="Comma 16 2 2 3 2 2 3 2" xfId="3928" xr:uid="{D4962DD3-8FA9-4E91-A9CC-FBE99D67799C}"/>
    <cellStyle name="Comma 16 2 2 3 2 2 4" xfId="1555" xr:uid="{2B4ABD15-BDAB-467B-93FF-1E892714E364}"/>
    <cellStyle name="Comma 16 2 2 3 2 2 5" xfId="3137" xr:uid="{0A28807A-8FF5-42DA-A434-E7B67A9C841D}"/>
    <cellStyle name="Comma 16 2 2 3 2 3" xfId="936" xr:uid="{51162B75-56B5-43D8-9091-ED2AECCE2066}"/>
    <cellStyle name="Comma 16 2 2 3 2 3 2" xfId="2519" xr:uid="{EBE71C09-ABD6-44EC-B814-6EC48A942B35}"/>
    <cellStyle name="Comma 16 2 2 3 2 3 2 2" xfId="4101" xr:uid="{5B48472F-0221-489E-838C-92346A96EBE1}"/>
    <cellStyle name="Comma 16 2 2 3 2 3 3" xfId="1728" xr:uid="{B84137FE-AEB3-4253-BA8A-076DE7C6C4F6}"/>
    <cellStyle name="Comma 16 2 2 3 2 3 4" xfId="3310" xr:uid="{644710A9-B80E-4E07-B2AF-A18053DE91EC}"/>
    <cellStyle name="Comma 16 2 2 3 2 4" xfId="2125" xr:uid="{56E4BFF3-F038-4611-9980-D90502E3B08C}"/>
    <cellStyle name="Comma 16 2 2 3 2 4 2" xfId="3707" xr:uid="{BD3D3F10-6262-4B9A-A828-83FB147ADCE9}"/>
    <cellStyle name="Comma 16 2 2 3 2 5" xfId="1334" xr:uid="{588DA625-350D-4F00-B193-3C7FDE0CBA25}"/>
    <cellStyle name="Comma 16 2 2 3 2 6" xfId="2916" xr:uid="{D1C17620-348D-49DC-9E61-B1799B8B02E1}"/>
    <cellStyle name="Comma 16 2 2 3 3" xfId="606" xr:uid="{7278A57C-8BBF-4A8B-8C5A-B1C9D6678B22}"/>
    <cellStyle name="Comma 16 2 2 3 3 2" xfId="1013" xr:uid="{5A31E182-D45B-4381-98F1-7CF350EC4E0E}"/>
    <cellStyle name="Comma 16 2 2 3 3 2 2" xfId="2596" xr:uid="{1D90D55F-9C88-4EC9-92BB-2B9BB76045CF}"/>
    <cellStyle name="Comma 16 2 2 3 3 2 2 2" xfId="4178" xr:uid="{C7333035-A689-48B8-B14B-4453442DB393}"/>
    <cellStyle name="Comma 16 2 2 3 3 2 3" xfId="1805" xr:uid="{C88A2F41-F457-4612-AFEE-4D1D021E7743}"/>
    <cellStyle name="Comma 16 2 2 3 3 2 4" xfId="3387" xr:uid="{CA44D7F0-DC25-42DF-9315-ADC42C7C76D0}"/>
    <cellStyle name="Comma 16 2 2 3 3 3" xfId="2202" xr:uid="{47CF884A-B7B1-44CC-84A0-41D2C74EA2B1}"/>
    <cellStyle name="Comma 16 2 2 3 3 3 2" xfId="3784" xr:uid="{22D65FF8-BFDA-428F-B1FC-BD47804CBCF5}"/>
    <cellStyle name="Comma 16 2 2 3 3 4" xfId="1411" xr:uid="{270BC5C4-FC95-488B-B8D3-75570B229551}"/>
    <cellStyle name="Comma 16 2 2 3 3 5" xfId="2993" xr:uid="{BFA384E4-F324-4940-8DC3-34CB9F6AB743}"/>
    <cellStyle name="Comma 16 2 2 3 4" xfId="681" xr:uid="{78555FAC-2327-4B61-B44F-642D3F108598}"/>
    <cellStyle name="Comma 16 2 2 3 4 2" xfId="1081" xr:uid="{B3043F45-4613-4EC3-A182-56C4EA26922B}"/>
    <cellStyle name="Comma 16 2 2 3 4 2 2" xfId="2664" xr:uid="{B18EF841-47A4-469A-92C9-07882F8F6575}"/>
    <cellStyle name="Comma 16 2 2 3 4 2 2 2" xfId="4246" xr:uid="{2D9DB465-1B39-4403-ADCC-8ECCC83595CA}"/>
    <cellStyle name="Comma 16 2 2 3 4 2 3" xfId="1873" xr:uid="{B7E701F4-7D38-4D46-A381-D870356F7681}"/>
    <cellStyle name="Comma 16 2 2 3 4 2 4" xfId="3455" xr:uid="{0ACFA00F-28B5-4DE4-ABF7-94C26FA7A0EA}"/>
    <cellStyle name="Comma 16 2 2 3 4 3" xfId="2270" xr:uid="{ADB21AC7-2556-434B-9CE6-BCBB26C889D8}"/>
    <cellStyle name="Comma 16 2 2 3 4 3 2" xfId="3852" xr:uid="{413B1A01-34ED-47F5-BD91-237F19356882}"/>
    <cellStyle name="Comma 16 2 2 3 4 4" xfId="1479" xr:uid="{BF9E802D-E94B-461B-BAE8-A68C00F5A406}"/>
    <cellStyle name="Comma 16 2 2 3 4 5" xfId="3061" xr:uid="{BFF24E24-F45C-4C34-8DD8-759CBD40A1A9}"/>
    <cellStyle name="Comma 16 2 2 3 5" xfId="860" xr:uid="{C9844B22-A9E5-4709-8B9E-0C2A0E8A58A9}"/>
    <cellStyle name="Comma 16 2 2 3 5 2" xfId="2443" xr:uid="{04AFC9C2-AA57-45AE-B236-D0409B02487D}"/>
    <cellStyle name="Comma 16 2 2 3 5 2 2" xfId="4025" xr:uid="{DCD9776A-537A-4E11-A8AF-5542E80BA3DC}"/>
    <cellStyle name="Comma 16 2 2 3 5 3" xfId="1652" xr:uid="{803ADDCC-0D50-4E65-B890-289BA6B95C6A}"/>
    <cellStyle name="Comma 16 2 2 3 5 4" xfId="3234" xr:uid="{D9EC7C54-C230-4612-949E-83E5E28FF588}"/>
    <cellStyle name="Comma 16 2 2 3 6" xfId="2049" xr:uid="{53D02FE5-4093-48CD-94AE-92A3DAB1D657}"/>
    <cellStyle name="Comma 16 2 2 3 6 2" xfId="3631" xr:uid="{15BD459B-E4DF-476C-94E8-239F72DF0978}"/>
    <cellStyle name="Comma 16 2 2 3 7" xfId="1258" xr:uid="{AE2AA050-2DF5-4CBA-888A-4ECC101DAD62}"/>
    <cellStyle name="Comma 16 2 2 3 8" xfId="2840" xr:uid="{6B7E52B0-2F78-4F9B-97B2-04414CB65D1B}"/>
    <cellStyle name="Comma 16 2 2 4" xfId="488" xr:uid="{03879E18-45DF-46F4-A88E-192D6FE61A9D}"/>
    <cellStyle name="Comma 16 2 2 4 2" xfId="716" xr:uid="{E6A84852-ACD6-4D3F-B2C8-A77DC0F25B45}"/>
    <cellStyle name="Comma 16 2 2 4 2 2" xfId="1116" xr:uid="{5872DF79-0AAD-416A-9739-0DBC263B0A5B}"/>
    <cellStyle name="Comma 16 2 2 4 2 2 2" xfId="2699" xr:uid="{AF733733-F18B-4F44-8E0B-380186C605E8}"/>
    <cellStyle name="Comma 16 2 2 4 2 2 2 2" xfId="4281" xr:uid="{B65170F9-7858-4D3C-8F43-97633124269C}"/>
    <cellStyle name="Comma 16 2 2 4 2 2 3" xfId="1908" xr:uid="{5FCB3D64-015F-4113-9001-9189FEE95EC7}"/>
    <cellStyle name="Comma 16 2 2 4 2 2 4" xfId="3490" xr:uid="{6674F56D-0166-447E-B700-7CE8F9E63335}"/>
    <cellStyle name="Comma 16 2 2 4 2 3" xfId="2305" xr:uid="{FA5BDA6F-1A68-4626-AB93-F2403B406FA9}"/>
    <cellStyle name="Comma 16 2 2 4 2 3 2" xfId="3887" xr:uid="{5C130D67-A8D4-467B-8D54-2A8B9C2A4FA5}"/>
    <cellStyle name="Comma 16 2 2 4 2 4" xfId="1514" xr:uid="{A6257B75-58BB-48D7-B7F6-497112D0F32C}"/>
    <cellStyle name="Comma 16 2 2 4 2 5" xfId="3096" xr:uid="{1145C95E-AF8B-4125-B050-636DEC271558}"/>
    <cellStyle name="Comma 16 2 2 4 3" xfId="895" xr:uid="{F5014570-E036-48CF-BA76-B8A578BD008D}"/>
    <cellStyle name="Comma 16 2 2 4 3 2" xfId="2478" xr:uid="{42654C12-26AB-4CF8-BD54-5EEFEFD6EE82}"/>
    <cellStyle name="Comma 16 2 2 4 3 2 2" xfId="4060" xr:uid="{DD86BCC7-CDD5-44E1-9725-934CB558FDB5}"/>
    <cellStyle name="Comma 16 2 2 4 3 3" xfId="1687" xr:uid="{352AA099-B8E6-4F54-8022-1D723136D6F7}"/>
    <cellStyle name="Comma 16 2 2 4 3 4" xfId="3269" xr:uid="{EFC5083D-EBC0-4809-BD03-88E49856B096}"/>
    <cellStyle name="Comma 16 2 2 4 4" xfId="2084" xr:uid="{358F075A-7314-446F-89F4-7BFD0C1CE3CA}"/>
    <cellStyle name="Comma 16 2 2 4 4 2" xfId="3666" xr:uid="{F8F1A5EB-BC12-47D8-BE5C-A0FC3D0B9872}"/>
    <cellStyle name="Comma 16 2 2 4 5" xfId="1293" xr:uid="{13AB27F6-A626-4633-A620-B60B295F26C7}"/>
    <cellStyle name="Comma 16 2 2 4 6" xfId="2875" xr:uid="{5BCB5118-8D03-4185-9C9D-AF5336C82CCF}"/>
    <cellStyle name="Comma 16 2 2 5" xfId="565" xr:uid="{689D94D2-B3B6-48CA-A82A-7887E120B814}"/>
    <cellStyle name="Comma 16 2 2 5 2" xfId="972" xr:uid="{3A2D37EC-AE94-4469-8AB4-975A87AEBFB3}"/>
    <cellStyle name="Comma 16 2 2 5 2 2" xfId="2555" xr:uid="{A73646AA-B791-49F9-8B67-FE172E3E58F5}"/>
    <cellStyle name="Comma 16 2 2 5 2 2 2" xfId="4137" xr:uid="{3C5C5A89-5D93-425E-93D9-8D1F72177580}"/>
    <cellStyle name="Comma 16 2 2 5 2 3" xfId="1764" xr:uid="{FF4683B1-D7AA-4528-A8F8-339D7BB4585A}"/>
    <cellStyle name="Comma 16 2 2 5 2 4" xfId="3346" xr:uid="{B77EFEAF-909B-4C6D-AF95-21F93053FA96}"/>
    <cellStyle name="Comma 16 2 2 5 3" xfId="2161" xr:uid="{8DDDAAB8-F9BE-415C-B0E0-1FEC0467D0D2}"/>
    <cellStyle name="Comma 16 2 2 5 3 2" xfId="3743" xr:uid="{E7DDC1DE-AA27-4838-8168-4D1B2804058A}"/>
    <cellStyle name="Comma 16 2 2 5 4" xfId="1370" xr:uid="{C2905A65-26B9-4C31-ACCE-4484E4DF13CB}"/>
    <cellStyle name="Comma 16 2 2 5 5" xfId="2952" xr:uid="{0ACD8BB4-5911-435F-B4A1-FE4CE7A229C9}"/>
    <cellStyle name="Comma 16 2 2 6" xfId="640" xr:uid="{701985BD-74E1-4FA3-BFE5-C1CA551B6CE1}"/>
    <cellStyle name="Comma 16 2 2 6 2" xfId="1040" xr:uid="{7B9798C7-0EA0-40CD-A9C2-F7B0D75BCA4E}"/>
    <cellStyle name="Comma 16 2 2 6 2 2" xfId="2623" xr:uid="{22E6D175-9C01-41FF-81F7-97791EF5BE77}"/>
    <cellStyle name="Comma 16 2 2 6 2 2 2" xfId="4205" xr:uid="{2515AC82-3337-4845-9785-714623317678}"/>
    <cellStyle name="Comma 16 2 2 6 2 3" xfId="1832" xr:uid="{F480CE6F-CAB6-47D9-8E2C-A1A004BC3EC2}"/>
    <cellStyle name="Comma 16 2 2 6 2 4" xfId="3414" xr:uid="{BF2BF1D5-B0D5-466E-B40E-466B7BEA930C}"/>
    <cellStyle name="Comma 16 2 2 6 3" xfId="2229" xr:uid="{5F2B81D5-125B-4965-A26D-46F9D124EED5}"/>
    <cellStyle name="Comma 16 2 2 6 3 2" xfId="3811" xr:uid="{899614F3-CFB2-4F60-80DB-073D366C62E3}"/>
    <cellStyle name="Comma 16 2 2 6 4" xfId="1438" xr:uid="{A23087E9-6A2B-4E6D-B941-664AD7D04061}"/>
    <cellStyle name="Comma 16 2 2 6 5" xfId="3020" xr:uid="{BF8447DC-115E-4846-9D79-5F74B2250E99}"/>
    <cellStyle name="Comma 16 2 2 7" xfId="792" xr:uid="{75500C14-CDA9-45C8-9945-00C446B375D7}"/>
    <cellStyle name="Comma 16 2 2 7 2" xfId="1192" xr:uid="{E1302561-5C65-4416-9E37-C602F8EE7A9D}"/>
    <cellStyle name="Comma 16 2 2 7 2 2" xfId="2775" xr:uid="{C6ED6AB6-BDD0-486A-A630-E2B2461AAD07}"/>
    <cellStyle name="Comma 16 2 2 7 2 2 2" xfId="4357" xr:uid="{2CF1DC80-D1D7-4C7B-B66D-C98F7072CE55}"/>
    <cellStyle name="Comma 16 2 2 7 2 3" xfId="1984" xr:uid="{6A0745D6-F9A1-4564-85FD-144016D43B96}"/>
    <cellStyle name="Comma 16 2 2 7 2 4" xfId="3566" xr:uid="{D250BE94-E012-49A4-9260-29EE197A844F}"/>
    <cellStyle name="Comma 16 2 2 7 3" xfId="2381" xr:uid="{9DBD209D-1B5C-4F28-89CA-A6836837FAA0}"/>
    <cellStyle name="Comma 16 2 2 7 3 2" xfId="3963" xr:uid="{2703DBB3-0620-4461-9BA2-EAB5A0707CB1}"/>
    <cellStyle name="Comma 16 2 2 7 4" xfId="1590" xr:uid="{E359EE44-C1DB-4843-B374-D7A49AEF6885}"/>
    <cellStyle name="Comma 16 2 2 7 5" xfId="3172" xr:uid="{9256B0A9-4F75-400A-8997-742530122095}"/>
    <cellStyle name="Comma 16 2 2 8" xfId="819" xr:uid="{0A62147A-9731-42E0-BF79-9F30CDC45817}"/>
    <cellStyle name="Comma 16 2 2 8 2" xfId="2402" xr:uid="{9080F347-A843-4889-9013-C9ACBF03C005}"/>
    <cellStyle name="Comma 16 2 2 8 2 2" xfId="3984" xr:uid="{25A17BE8-4E0C-41F7-9BCC-BD43B70F7415}"/>
    <cellStyle name="Comma 16 2 2 8 3" xfId="1611" xr:uid="{87845224-3C88-4737-84F7-CDDEC222EF68}"/>
    <cellStyle name="Comma 16 2 2 8 4" xfId="3193" xr:uid="{50AD0BBF-ED89-40D3-8CD0-AD10266BA9C3}"/>
    <cellStyle name="Comma 16 2 2 9" xfId="2008" xr:uid="{0E5AC19F-E4EA-47B3-BF33-20684B2EDA5E}"/>
    <cellStyle name="Comma 16 2 2 9 2" xfId="3590" xr:uid="{B74EFF3E-AB01-41A9-8760-2BCC5203EFE2}"/>
    <cellStyle name="Comma 16 2 3" xfId="343" xr:uid="{190FEE72-9A56-436F-B80A-409ED8B9168F}"/>
    <cellStyle name="Comma 16 2 3 10" xfId="2806" xr:uid="{8B0F78DD-65D2-480C-B672-8F6E5AE85C5A}"/>
    <cellStyle name="Comma 16 2 3 2" xfId="421" xr:uid="{257D3030-F6C3-4E44-B21D-A1E91EB4B4BE}"/>
    <cellStyle name="Comma 16 2 3 2 2" xfId="536" xr:uid="{27BA2372-F941-4D1D-B678-F6E833C6B080}"/>
    <cellStyle name="Comma 16 2 3 2 2 2" xfId="764" xr:uid="{A90D4BF2-5B6F-4E5E-B4AB-4D78EFD20262}"/>
    <cellStyle name="Comma 16 2 3 2 2 2 2" xfId="1164" xr:uid="{856F81E2-3FA0-49B8-8489-7BD6070F1394}"/>
    <cellStyle name="Comma 16 2 3 2 2 2 2 2" xfId="2747" xr:uid="{B3A83148-5095-45FD-8F64-ECC359734286}"/>
    <cellStyle name="Comma 16 2 3 2 2 2 2 2 2" xfId="4329" xr:uid="{BBC4ED51-B43F-4382-B055-98BE0B46B656}"/>
    <cellStyle name="Comma 16 2 3 2 2 2 2 3" xfId="1956" xr:uid="{44DEDC94-C91F-4A8B-B1D3-3AA9D6743B64}"/>
    <cellStyle name="Comma 16 2 3 2 2 2 2 4" xfId="3538" xr:uid="{E87C1EF3-5AF6-42D3-8C9E-78F0D7E28B49}"/>
    <cellStyle name="Comma 16 2 3 2 2 2 3" xfId="2353" xr:uid="{08906C51-0954-495C-8AAE-1B129FDC8681}"/>
    <cellStyle name="Comma 16 2 3 2 2 2 3 2" xfId="3935" xr:uid="{28F99C8C-5628-45AC-8DAC-E5D9B3352A5F}"/>
    <cellStyle name="Comma 16 2 3 2 2 2 4" xfId="1562" xr:uid="{B0AA843A-F719-4093-8AE2-B0180EEFB00C}"/>
    <cellStyle name="Comma 16 2 3 2 2 2 5" xfId="3144" xr:uid="{A52D6004-E983-45ED-AE39-ED3EE9C6A6EC}"/>
    <cellStyle name="Comma 16 2 3 2 2 3" xfId="943" xr:uid="{6F193B17-238E-4A1E-870F-C5900DC805C7}"/>
    <cellStyle name="Comma 16 2 3 2 2 3 2" xfId="2526" xr:uid="{1E8CE6A1-1781-4E02-AA4B-D94338EC6B0A}"/>
    <cellStyle name="Comma 16 2 3 2 2 3 2 2" xfId="4108" xr:uid="{B2672E70-05B3-4ED5-97E2-DB9B7BB685FB}"/>
    <cellStyle name="Comma 16 2 3 2 2 3 3" xfId="1735" xr:uid="{F52B32E0-6C7E-483D-A2DA-94CA74CA82ED}"/>
    <cellStyle name="Comma 16 2 3 2 2 3 4" xfId="3317" xr:uid="{177BF1C6-B8CC-4688-B39C-C978B7245E2A}"/>
    <cellStyle name="Comma 16 2 3 2 2 4" xfId="2132" xr:uid="{CC5BE23D-417C-46B3-847D-A47C9134336D}"/>
    <cellStyle name="Comma 16 2 3 2 2 4 2" xfId="3714" xr:uid="{DB9DD4E7-1B98-484A-95BB-0E6FE74008E3}"/>
    <cellStyle name="Comma 16 2 3 2 2 5" xfId="1341" xr:uid="{497EF7EA-5B5B-4AF4-9E97-46AE8667A17E}"/>
    <cellStyle name="Comma 16 2 3 2 2 6" xfId="2923" xr:uid="{C217FE2D-97A7-41DB-832B-E2912C51E019}"/>
    <cellStyle name="Comma 16 2 3 2 3" xfId="613" xr:uid="{8DABC2E2-8309-421B-8644-03F49291F1C1}"/>
    <cellStyle name="Comma 16 2 3 2 3 2" xfId="1020" xr:uid="{1553C377-E8AB-4FC0-8EB6-1702187A364D}"/>
    <cellStyle name="Comma 16 2 3 2 3 2 2" xfId="2603" xr:uid="{D3893BA1-0AE8-49F0-BC35-75469324E317}"/>
    <cellStyle name="Comma 16 2 3 2 3 2 2 2" xfId="4185" xr:uid="{255DFA1E-721A-49EE-9089-1CC9E5205FF6}"/>
    <cellStyle name="Comma 16 2 3 2 3 2 3" xfId="1812" xr:uid="{70F99FB1-FD81-4C6B-BF1E-1AF64254E52D}"/>
    <cellStyle name="Comma 16 2 3 2 3 2 4" xfId="3394" xr:uid="{81FE0CE1-1B18-4300-9E0E-6F1F953D2422}"/>
    <cellStyle name="Comma 16 2 3 2 3 3" xfId="2209" xr:uid="{107695D1-D403-4FED-848A-9B78EC4BA8AE}"/>
    <cellStyle name="Comma 16 2 3 2 3 3 2" xfId="3791" xr:uid="{55B7295F-D857-4371-ACC0-7BB3EE5117E5}"/>
    <cellStyle name="Comma 16 2 3 2 3 4" xfId="1418" xr:uid="{E0C22CD8-BD60-4C97-9F44-F64DC5BC9233}"/>
    <cellStyle name="Comma 16 2 3 2 3 5" xfId="3000" xr:uid="{AB44F19C-8B0C-448A-9FFE-23C7FDEEB7B4}"/>
    <cellStyle name="Comma 16 2 3 2 4" xfId="688" xr:uid="{10937EE0-2864-465C-BD99-B3CC147EC947}"/>
    <cellStyle name="Comma 16 2 3 2 4 2" xfId="1088" xr:uid="{937A7921-B0FD-4EF0-8701-E3205E94D177}"/>
    <cellStyle name="Comma 16 2 3 2 4 2 2" xfId="2671" xr:uid="{A119EBE2-69BE-49D7-A758-91D46B7CB61D}"/>
    <cellStyle name="Comma 16 2 3 2 4 2 2 2" xfId="4253" xr:uid="{17303179-3B3D-4276-A1E7-91FA51826A9E}"/>
    <cellStyle name="Comma 16 2 3 2 4 2 3" xfId="1880" xr:uid="{ED56D897-1C37-4E2B-BD34-163D02D592FD}"/>
    <cellStyle name="Comma 16 2 3 2 4 2 4" xfId="3462" xr:uid="{292B107A-96EA-45BC-BACC-E360179C3767}"/>
    <cellStyle name="Comma 16 2 3 2 4 3" xfId="2277" xr:uid="{02037AC2-36F1-4B4B-8027-C0E49E9DE45A}"/>
    <cellStyle name="Comma 16 2 3 2 4 3 2" xfId="3859" xr:uid="{CFB28829-6C97-482F-B78B-0893016E5E70}"/>
    <cellStyle name="Comma 16 2 3 2 4 4" xfId="1486" xr:uid="{DE43C2F7-7682-4D05-8763-146ABE1AD1C6}"/>
    <cellStyle name="Comma 16 2 3 2 4 5" xfId="3068" xr:uid="{588B838D-7925-4066-96A0-E60B15B49E15}"/>
    <cellStyle name="Comma 16 2 3 2 5" xfId="867" xr:uid="{3D28ECF0-C800-4D2F-AD73-6C0CE7C8AAB6}"/>
    <cellStyle name="Comma 16 2 3 2 5 2" xfId="2450" xr:uid="{B0FA90DC-C0D9-4701-8DAA-DE0B72DA0395}"/>
    <cellStyle name="Comma 16 2 3 2 5 2 2" xfId="4032" xr:uid="{0EF2C49F-1F3F-44FB-9D3F-78DE0F0CC5E4}"/>
    <cellStyle name="Comma 16 2 3 2 5 3" xfId="1659" xr:uid="{23413C8C-4162-472A-A312-7A329FD391C5}"/>
    <cellStyle name="Comma 16 2 3 2 5 4" xfId="3241" xr:uid="{B84C3209-61FA-4EE6-923C-ED76EA159671}"/>
    <cellStyle name="Comma 16 2 3 2 6" xfId="2056" xr:uid="{FAE3F99B-79A7-4AE6-B68D-72CD535963F8}"/>
    <cellStyle name="Comma 16 2 3 2 6 2" xfId="3638" xr:uid="{BCE1D305-E8DF-4D67-AC26-D045C19E8CD3}"/>
    <cellStyle name="Comma 16 2 3 2 7" xfId="1265" xr:uid="{BF60EDC7-9453-4CB4-9CEA-A3F6062FE887}"/>
    <cellStyle name="Comma 16 2 3 2 8" xfId="2847" xr:uid="{BB1A3CBD-74E1-451E-B8E7-6C42BB620F5C}"/>
    <cellStyle name="Comma 16 2 3 3" xfId="495" xr:uid="{F1301F7F-141F-4991-B814-5C41307E16A3}"/>
    <cellStyle name="Comma 16 2 3 3 2" xfId="723" xr:uid="{FF02E97F-B982-4940-8296-BA801F7BAB2B}"/>
    <cellStyle name="Comma 16 2 3 3 2 2" xfId="1123" xr:uid="{6E389BF2-1570-4FF1-8CE2-EDF6A2975559}"/>
    <cellStyle name="Comma 16 2 3 3 2 2 2" xfId="2706" xr:uid="{1948A376-C528-4B48-A3DC-6AA57CC0117C}"/>
    <cellStyle name="Comma 16 2 3 3 2 2 2 2" xfId="4288" xr:uid="{791082CA-DA44-4129-B6AA-B4CFB878B385}"/>
    <cellStyle name="Comma 16 2 3 3 2 2 3" xfId="1915" xr:uid="{E0B84598-C455-4177-8F44-1DCB78A4E25F}"/>
    <cellStyle name="Comma 16 2 3 3 2 2 4" xfId="3497" xr:uid="{8B1D2C8D-B6D8-45AC-A044-ABFD5713EEB6}"/>
    <cellStyle name="Comma 16 2 3 3 2 3" xfId="2312" xr:uid="{CBF062F9-10CE-42E3-9714-2051686970BE}"/>
    <cellStyle name="Comma 16 2 3 3 2 3 2" xfId="3894" xr:uid="{8CBB35E7-AA24-450B-94A2-6E5E6B5A0491}"/>
    <cellStyle name="Comma 16 2 3 3 2 4" xfId="1521" xr:uid="{31C737A8-8E5B-41F5-981F-4E9935624B08}"/>
    <cellStyle name="Comma 16 2 3 3 2 5" xfId="3103" xr:uid="{FFF228E5-9800-4D42-A22B-37FA2455F917}"/>
    <cellStyle name="Comma 16 2 3 3 3" xfId="902" xr:uid="{F1332E9A-1107-42F3-A25C-AA76247F28D8}"/>
    <cellStyle name="Comma 16 2 3 3 3 2" xfId="2485" xr:uid="{F6E69824-19EA-4383-A295-0E3517B7D5D3}"/>
    <cellStyle name="Comma 16 2 3 3 3 2 2" xfId="4067" xr:uid="{A0884B0C-2854-488F-BC14-DC5902BDDDE2}"/>
    <cellStyle name="Comma 16 2 3 3 3 3" xfId="1694" xr:uid="{BD30591A-21E1-4591-BBF3-C4F3E0DCA950}"/>
    <cellStyle name="Comma 16 2 3 3 3 4" xfId="3276" xr:uid="{B1CAE920-3457-471D-8703-041D071DF6D3}"/>
    <cellStyle name="Comma 16 2 3 3 4" xfId="2091" xr:uid="{D0642231-95ED-4A42-9205-6CA3A765390B}"/>
    <cellStyle name="Comma 16 2 3 3 4 2" xfId="3673" xr:uid="{FE92561F-173C-4DFC-BC6A-A228BB1338CB}"/>
    <cellStyle name="Comma 16 2 3 3 5" xfId="1300" xr:uid="{374D0FD6-FF4F-40E6-B844-CF4131C4138D}"/>
    <cellStyle name="Comma 16 2 3 3 6" xfId="2882" xr:uid="{1A186B3A-4DA3-4E7E-8804-2E86D1F3A171}"/>
    <cellStyle name="Comma 16 2 3 4" xfId="572" xr:uid="{7734688A-A26C-40F6-97F7-C404069AF696}"/>
    <cellStyle name="Comma 16 2 3 4 2" xfId="979" xr:uid="{A7ACFF6E-DCB8-4669-B555-30A5A9E4093E}"/>
    <cellStyle name="Comma 16 2 3 4 2 2" xfId="2562" xr:uid="{A2A4391C-A50E-420E-B471-B6A8BC051A99}"/>
    <cellStyle name="Comma 16 2 3 4 2 2 2" xfId="4144" xr:uid="{EADC48FD-8F4A-403B-87EA-09BF10306477}"/>
    <cellStyle name="Comma 16 2 3 4 2 3" xfId="1771" xr:uid="{9D08094F-A64B-43D1-AC1D-189FADAC1205}"/>
    <cellStyle name="Comma 16 2 3 4 2 4" xfId="3353" xr:uid="{996A77A8-7143-4F85-8F08-DA77E6584C9F}"/>
    <cellStyle name="Comma 16 2 3 4 3" xfId="2168" xr:uid="{8BC026EF-FA0C-4F12-8EAA-4B89C8E6B4C6}"/>
    <cellStyle name="Comma 16 2 3 4 3 2" xfId="3750" xr:uid="{DF095EB1-ADC4-4CEB-A169-7AAD7304C6B3}"/>
    <cellStyle name="Comma 16 2 3 4 4" xfId="1377" xr:uid="{F07B1E55-BFFA-4D5A-A391-9CF8CBC58DBB}"/>
    <cellStyle name="Comma 16 2 3 4 5" xfId="2959" xr:uid="{E077BC9D-D1DC-41E5-93B2-D3284ABBD06E}"/>
    <cellStyle name="Comma 16 2 3 5" xfId="647" xr:uid="{81A7D9F9-4A5A-45AA-BE58-2C12CFAE1392}"/>
    <cellStyle name="Comma 16 2 3 5 2" xfId="1047" xr:uid="{A2571F14-A495-4C57-9338-8D2EC2ED4770}"/>
    <cellStyle name="Comma 16 2 3 5 2 2" xfId="2630" xr:uid="{2D28DC6D-1FDC-4A14-9BE0-1DBC0B5EE996}"/>
    <cellStyle name="Comma 16 2 3 5 2 2 2" xfId="4212" xr:uid="{57D6B3A2-8F89-49DD-94CC-3FF3EE0CAD17}"/>
    <cellStyle name="Comma 16 2 3 5 2 3" xfId="1839" xr:uid="{90B24B17-87C6-4535-925D-20DB6F6D0019}"/>
    <cellStyle name="Comma 16 2 3 5 2 4" xfId="3421" xr:uid="{4E90669C-894F-4FB9-9155-9602B6B4B1FC}"/>
    <cellStyle name="Comma 16 2 3 5 3" xfId="2236" xr:uid="{E1A7BE7C-ED36-4D78-ACFF-2A45096140D6}"/>
    <cellStyle name="Comma 16 2 3 5 3 2" xfId="3818" xr:uid="{B7A007CB-73CA-42C2-BA0A-96947F495753}"/>
    <cellStyle name="Comma 16 2 3 5 4" xfId="1445" xr:uid="{7B245698-863A-40D0-AD20-256A9CC419BF}"/>
    <cellStyle name="Comma 16 2 3 5 5" xfId="3027" xr:uid="{9B6D5F6D-2CE6-48FF-B914-495FB87B4FAB}"/>
    <cellStyle name="Comma 16 2 3 6" xfId="799" xr:uid="{16A98897-F5D6-4D38-AB07-50A74B5D7814}"/>
    <cellStyle name="Comma 16 2 3 6 2" xfId="1199" xr:uid="{C0713B10-87D1-486D-8FD2-0811D84287A4}"/>
    <cellStyle name="Comma 16 2 3 6 2 2" xfId="2782" xr:uid="{8EBD32DB-1C0B-4319-85EA-41265E15F789}"/>
    <cellStyle name="Comma 16 2 3 6 2 2 2" xfId="4364" xr:uid="{FDB25DE2-5EF5-4704-86E3-9E33E0273E0D}"/>
    <cellStyle name="Comma 16 2 3 6 2 3" xfId="1991" xr:uid="{F41DD3B8-CF02-48E1-8CA3-3694CA056CCE}"/>
    <cellStyle name="Comma 16 2 3 6 2 4" xfId="3573" xr:uid="{51AEF953-CBC1-4207-9857-6577DD57A6B6}"/>
    <cellStyle name="Comma 16 2 3 6 3" xfId="2388" xr:uid="{280D382D-51F8-4418-9FE9-89D328F7B9EA}"/>
    <cellStyle name="Comma 16 2 3 6 3 2" xfId="3970" xr:uid="{0D1385D5-C8C1-4006-AC26-9A4D0703A9C5}"/>
    <cellStyle name="Comma 16 2 3 6 4" xfId="1597" xr:uid="{018875E6-9188-4F1C-8E9D-4EC517F23641}"/>
    <cellStyle name="Comma 16 2 3 6 5" xfId="3179" xr:uid="{E4743FD1-B982-4AE9-A577-31884E27CF7E}"/>
    <cellStyle name="Comma 16 2 3 7" xfId="826" xr:uid="{95EB36B5-AEA3-4CBE-86BF-5454555005B9}"/>
    <cellStyle name="Comma 16 2 3 7 2" xfId="2409" xr:uid="{48D4DBA9-CF7F-4431-82F4-37B7863E7A03}"/>
    <cellStyle name="Comma 16 2 3 7 2 2" xfId="3991" xr:uid="{9CD7979B-BF28-4B3B-9D66-284937BADC76}"/>
    <cellStyle name="Comma 16 2 3 7 3" xfId="1618" xr:uid="{6DA7ACD5-E32E-4096-9CD4-2FF0AAC65062}"/>
    <cellStyle name="Comma 16 2 3 7 4" xfId="3200" xr:uid="{781ED0CC-DA50-4D25-A10B-887C6C7A8D3C}"/>
    <cellStyle name="Comma 16 2 3 8" xfId="2015" xr:uid="{1E436506-1835-47B7-99BE-1B604405E1A0}"/>
    <cellStyle name="Comma 16 2 3 8 2" xfId="3597" xr:uid="{D9F0C550-CAF8-476E-A6D4-ABE7DC44EEEA}"/>
    <cellStyle name="Comma 16 2 3 9" xfId="1224" xr:uid="{4234C98C-826E-4C7C-94B0-5A9FC79CDA63}"/>
    <cellStyle name="Comma 16 2 4" xfId="395" xr:uid="{6AA1F85E-8B91-4BF8-95D8-778A5B96C093}"/>
    <cellStyle name="Comma 16 2 4 2" xfId="516" xr:uid="{A874EE77-9C94-44A3-BBBF-9747DCA5FF3A}"/>
    <cellStyle name="Comma 16 2 4 2 2" xfId="744" xr:uid="{F294946D-9F91-43DB-A412-2AC8A918C527}"/>
    <cellStyle name="Comma 16 2 4 2 2 2" xfId="1144" xr:uid="{CD8B9539-3E92-424F-B082-7124EB8EFDBF}"/>
    <cellStyle name="Comma 16 2 4 2 2 2 2" xfId="2727" xr:uid="{018BB590-5243-4498-AE0A-AF4639E74882}"/>
    <cellStyle name="Comma 16 2 4 2 2 2 2 2" xfId="4309" xr:uid="{9567C5DB-018D-4BCA-A9BB-04641B699925}"/>
    <cellStyle name="Comma 16 2 4 2 2 2 3" xfId="1936" xr:uid="{AF82A164-7BF2-47E3-9935-E076E634E2D4}"/>
    <cellStyle name="Comma 16 2 4 2 2 2 4" xfId="3518" xr:uid="{2A452BF2-24A2-4FAD-A473-0A7EB6DC76BE}"/>
    <cellStyle name="Comma 16 2 4 2 2 3" xfId="2333" xr:uid="{C0895BA4-F532-44A1-81BA-C8A77615EAF1}"/>
    <cellStyle name="Comma 16 2 4 2 2 3 2" xfId="3915" xr:uid="{92BC96DA-00E9-4940-8518-F91FAEA4769B}"/>
    <cellStyle name="Comma 16 2 4 2 2 4" xfId="1542" xr:uid="{6BFFD3EC-622E-416F-9390-AA1C1B4C29CA}"/>
    <cellStyle name="Comma 16 2 4 2 2 5" xfId="3124" xr:uid="{FA8B58C1-9400-4F42-9681-0CDF5D8180B2}"/>
    <cellStyle name="Comma 16 2 4 2 3" xfId="923" xr:uid="{7455182F-5C8C-46BE-922E-70A0FEEFC405}"/>
    <cellStyle name="Comma 16 2 4 2 3 2" xfId="2506" xr:uid="{0DE8C924-B647-4115-917F-14A226C26158}"/>
    <cellStyle name="Comma 16 2 4 2 3 2 2" xfId="4088" xr:uid="{5C748CBC-DCE3-4A80-9190-02AAD2E020B9}"/>
    <cellStyle name="Comma 16 2 4 2 3 3" xfId="1715" xr:uid="{A9DD5247-BF3E-4DAC-910F-AD0D832BA84B}"/>
    <cellStyle name="Comma 16 2 4 2 3 4" xfId="3297" xr:uid="{61AD06FB-19AC-4233-B9B0-3CC1A5F2F692}"/>
    <cellStyle name="Comma 16 2 4 2 4" xfId="2112" xr:uid="{9821F6C3-3CF7-4633-B4F2-2008E833D6E8}"/>
    <cellStyle name="Comma 16 2 4 2 4 2" xfId="3694" xr:uid="{ECF9AD25-DAB5-4B54-A892-61486A319FFB}"/>
    <cellStyle name="Comma 16 2 4 2 5" xfId="1321" xr:uid="{93480E47-5BF3-4B78-B805-F0A7FC6B193E}"/>
    <cellStyle name="Comma 16 2 4 2 6" xfId="2903" xr:uid="{E6D9D19A-6507-4ACF-8AF1-8CDB38B0C009}"/>
    <cellStyle name="Comma 16 2 4 3" xfId="593" xr:uid="{50FB6D38-F79D-462F-832E-3ECF4CF658FC}"/>
    <cellStyle name="Comma 16 2 4 3 2" xfId="1000" xr:uid="{A20B7085-AA87-446E-9D3A-AAE7088CED37}"/>
    <cellStyle name="Comma 16 2 4 3 2 2" xfId="2583" xr:uid="{5D47A940-79C2-4DB7-BAA3-139D1D3DAA53}"/>
    <cellStyle name="Comma 16 2 4 3 2 2 2" xfId="4165" xr:uid="{E456E879-838B-423B-B90C-0A986F7664B8}"/>
    <cellStyle name="Comma 16 2 4 3 2 3" xfId="1792" xr:uid="{EADEF88C-F4BD-42F0-8577-814C2998395B}"/>
    <cellStyle name="Comma 16 2 4 3 2 4" xfId="3374" xr:uid="{1EFA8A2B-86ED-4769-BF32-9DC852787C2F}"/>
    <cellStyle name="Comma 16 2 4 3 3" xfId="2189" xr:uid="{B6ADFA22-9027-41CB-A46D-ACF07E3C2D19}"/>
    <cellStyle name="Comma 16 2 4 3 3 2" xfId="3771" xr:uid="{2CDF2DCF-62E4-418C-8431-1B89218FB639}"/>
    <cellStyle name="Comma 16 2 4 3 4" xfId="1398" xr:uid="{9CB55D70-A5DF-48AA-8FA2-B940B438085E}"/>
    <cellStyle name="Comma 16 2 4 3 5" xfId="2980" xr:uid="{895B2805-4FD0-4C05-9828-9E77DB476EED}"/>
    <cellStyle name="Comma 16 2 4 4" xfId="668" xr:uid="{72BFF633-805C-4A89-8763-E05378A56D37}"/>
    <cellStyle name="Comma 16 2 4 4 2" xfId="1068" xr:uid="{A62893DD-1FC8-472E-8C82-043A512C72A9}"/>
    <cellStyle name="Comma 16 2 4 4 2 2" xfId="2651" xr:uid="{ACB76BD8-6272-4B30-8553-47E1BD026378}"/>
    <cellStyle name="Comma 16 2 4 4 2 2 2" xfId="4233" xr:uid="{CDAEE213-0DDC-4D8E-9D84-E749035BE4FF}"/>
    <cellStyle name="Comma 16 2 4 4 2 3" xfId="1860" xr:uid="{2DBA107A-760E-4E6D-A443-23DA9E94AE27}"/>
    <cellStyle name="Comma 16 2 4 4 2 4" xfId="3442" xr:uid="{352DD0F8-46B8-4E63-9773-845F49F8D6F7}"/>
    <cellStyle name="Comma 16 2 4 4 3" xfId="2257" xr:uid="{93E74C5A-A711-40FA-A971-5E7D4EC5CB9C}"/>
    <cellStyle name="Comma 16 2 4 4 3 2" xfId="3839" xr:uid="{B5DA970A-826E-46C3-BCDD-6D2E7BEF9EA0}"/>
    <cellStyle name="Comma 16 2 4 4 4" xfId="1466" xr:uid="{0242DABC-7BD3-4560-9AA0-B453EDDD887A}"/>
    <cellStyle name="Comma 16 2 4 4 5" xfId="3048" xr:uid="{0986E475-3C62-4845-A612-8506AAF0BAD0}"/>
    <cellStyle name="Comma 16 2 4 5" xfId="847" xr:uid="{64CE4A8F-9AA4-4C9B-8869-253200056FD3}"/>
    <cellStyle name="Comma 16 2 4 5 2" xfId="2430" xr:uid="{2E65A35C-FAB2-4BF7-B593-EA03416548FB}"/>
    <cellStyle name="Comma 16 2 4 5 2 2" xfId="4012" xr:uid="{B17377FC-F858-4C05-8A5F-A9FA7428E937}"/>
    <cellStyle name="Comma 16 2 4 5 3" xfId="1639" xr:uid="{1829FC3A-6489-45CD-BF82-12EFBFA888EA}"/>
    <cellStyle name="Comma 16 2 4 5 4" xfId="3221" xr:uid="{E9BAC30E-D9D9-4E37-9194-DB8595B7EB07}"/>
    <cellStyle name="Comma 16 2 4 6" xfId="2036" xr:uid="{5605D890-7840-4132-9EEC-7B264D70DA1F}"/>
    <cellStyle name="Comma 16 2 4 6 2" xfId="3618" xr:uid="{9CE90D92-78A6-4640-AA66-46175BDD7DA3}"/>
    <cellStyle name="Comma 16 2 4 7" xfId="1245" xr:uid="{EEF0BD03-ED9D-46E1-9407-B89CFEC9D0A6}"/>
    <cellStyle name="Comma 16 2 4 8" xfId="2827" xr:uid="{190D4883-47A0-4E0A-AA38-E77B42CE1D31}"/>
    <cellStyle name="Comma 16 2 5" xfId="479" xr:uid="{CC3DBB6E-EE0D-43C6-BB56-77837B647AE1}"/>
    <cellStyle name="Comma 16 2 5 2" xfId="555" xr:uid="{712197A7-02D1-49D6-A92F-FD48D57000CE}"/>
    <cellStyle name="Comma 16 2 5 2 2" xfId="783" xr:uid="{C29B2EA6-61C5-46B8-B641-DED9ED766FD4}"/>
    <cellStyle name="Comma 16 2 5 2 2 2" xfId="1183" xr:uid="{9D0E49A9-7CD5-464C-9758-7BEAF3B01466}"/>
    <cellStyle name="Comma 16 2 5 2 2 2 2" xfId="2766" xr:uid="{92BF7C52-86F5-46FD-B6DC-A8820B10B4AE}"/>
    <cellStyle name="Comma 16 2 5 2 2 2 2 2" xfId="4348" xr:uid="{20758289-4805-4DEB-BFFF-6BD931057A74}"/>
    <cellStyle name="Comma 16 2 5 2 2 2 3" xfId="1975" xr:uid="{C2085FD4-DA6F-471A-84B2-1C081DB4D2BC}"/>
    <cellStyle name="Comma 16 2 5 2 2 2 4" xfId="3557" xr:uid="{565C3A1E-80BA-4309-8842-9674DD551F1E}"/>
    <cellStyle name="Comma 16 2 5 2 2 3" xfId="2372" xr:uid="{B409C509-2D5E-4265-AA2F-6198B587A288}"/>
    <cellStyle name="Comma 16 2 5 2 2 3 2" xfId="3954" xr:uid="{EF7AAEAB-DB39-4EFD-8F2D-76909428AC14}"/>
    <cellStyle name="Comma 16 2 5 2 2 4" xfId="1581" xr:uid="{2FFC5FAC-749F-4157-8A7A-EDC2E9BEFA5E}"/>
    <cellStyle name="Comma 16 2 5 2 2 5" xfId="3163" xr:uid="{8858E54A-1E82-4B07-8908-B0D352BDC15B}"/>
    <cellStyle name="Comma 16 2 5 2 3" xfId="962" xr:uid="{348CAAA4-1577-4D12-A7A0-257CC6BF0F26}"/>
    <cellStyle name="Comma 16 2 5 2 3 2" xfId="2545" xr:uid="{3B225B7C-1346-45DF-87AA-0502B61A0953}"/>
    <cellStyle name="Comma 16 2 5 2 3 2 2" xfId="4127" xr:uid="{D2160DF9-A90C-4318-8636-DE557C295EEB}"/>
    <cellStyle name="Comma 16 2 5 2 3 3" xfId="1754" xr:uid="{DC594FE5-DC4A-4094-A1C0-5556F429DB52}"/>
    <cellStyle name="Comma 16 2 5 2 3 4" xfId="3336" xr:uid="{77086551-2FC6-467B-8269-7C1A086DF27E}"/>
    <cellStyle name="Comma 16 2 5 2 4" xfId="2151" xr:uid="{1DBE27EC-BB53-4CE0-A624-C582D47A373F}"/>
    <cellStyle name="Comma 16 2 5 2 4 2" xfId="3733" xr:uid="{C5898826-9178-43C4-8830-D00968A38969}"/>
    <cellStyle name="Comma 16 2 5 2 5" xfId="1360" xr:uid="{60C51973-E23B-44B3-A243-52A8CDA8FE98}"/>
    <cellStyle name="Comma 16 2 5 2 6" xfId="2942" xr:uid="{1154B819-BB7A-4A54-AD26-F7852356FE09}"/>
    <cellStyle name="Comma 16 2 5 3" xfId="707" xr:uid="{E1CA07B8-93A3-4952-B7FE-6587953C50D3}"/>
    <cellStyle name="Comma 16 2 5 3 2" xfId="1107" xr:uid="{A13FC2F7-5167-439D-B325-32583109130B}"/>
    <cellStyle name="Comma 16 2 5 3 2 2" xfId="2690" xr:uid="{38561E57-5734-4C59-A1A3-078856C87BDA}"/>
    <cellStyle name="Comma 16 2 5 3 2 2 2" xfId="4272" xr:uid="{D061C7FA-6A89-4605-B2AB-32FE9FA2F2FE}"/>
    <cellStyle name="Comma 16 2 5 3 2 3" xfId="1899" xr:uid="{79E2A12E-2776-4CBE-9DAE-F0C9C0ECCF25}"/>
    <cellStyle name="Comma 16 2 5 3 2 4" xfId="3481" xr:uid="{0F7D669A-6610-4ACB-BE72-2A872B8F7232}"/>
    <cellStyle name="Comma 16 2 5 3 3" xfId="2296" xr:uid="{9071C189-49A6-4A4E-BD7E-DCD79682AA5B}"/>
    <cellStyle name="Comma 16 2 5 3 3 2" xfId="3878" xr:uid="{B5625D1F-742D-486B-83B1-ECCEC99C81FD}"/>
    <cellStyle name="Comma 16 2 5 3 4" xfId="1505" xr:uid="{9CB0C4E7-67B5-41F2-B91D-CC76414F62C9}"/>
    <cellStyle name="Comma 16 2 5 3 5" xfId="3087" xr:uid="{A8F66283-637B-4CBA-8F0F-929A365A895C}"/>
    <cellStyle name="Comma 16 2 5 4" xfId="886" xr:uid="{8B15672D-5B04-42DD-9C37-48DBAF9D3DBD}"/>
    <cellStyle name="Comma 16 2 5 4 2" xfId="2469" xr:uid="{BAE3C0EE-8239-466F-A562-8DE500D1231D}"/>
    <cellStyle name="Comma 16 2 5 4 2 2" xfId="4051" xr:uid="{AB84535F-5B22-4EA5-B564-2AE67ED0F832}"/>
    <cellStyle name="Comma 16 2 5 4 3" xfId="1678" xr:uid="{D8F35473-C652-4E03-B976-727B2E8068B0}"/>
    <cellStyle name="Comma 16 2 5 4 4" xfId="3260" xr:uid="{85E8BA07-3686-4278-BB2A-A19D34AED71A}"/>
    <cellStyle name="Comma 16 2 5 5" xfId="2075" xr:uid="{F7E6D988-DEE2-46BC-9C8A-ADC4E89B1496}"/>
    <cellStyle name="Comma 16 2 5 5 2" xfId="3657" xr:uid="{691CEE05-FCCA-4166-B317-698C706F5205}"/>
    <cellStyle name="Comma 16 2 5 6" xfId="1284" xr:uid="{0235CB9D-AF7C-4A38-8DEB-53B40650BB92}"/>
    <cellStyle name="Comma 16 2 5 7" xfId="2866" xr:uid="{AFB311C4-F8EC-4123-AC4C-8FF5E9DFB7E5}"/>
    <cellStyle name="Comma 16 2 6" xfId="485" xr:uid="{A35D3D99-F418-4C01-BC1D-795E0A56E7C7}"/>
    <cellStyle name="Comma 16 2 6 2" xfId="713" xr:uid="{2F8CA8A4-368D-4A80-BD3F-4E74C476E82B}"/>
    <cellStyle name="Comma 16 2 6 2 2" xfId="1113" xr:uid="{F2D778A6-7E9B-43AC-AB17-0BE8254C3DBE}"/>
    <cellStyle name="Comma 16 2 6 2 2 2" xfId="2696" xr:uid="{17ADCDCF-D5B0-48DF-9D01-A07995E312D4}"/>
    <cellStyle name="Comma 16 2 6 2 2 2 2" xfId="4278" xr:uid="{0A63B594-A8FC-41F9-A4CE-0A5526BB9ADF}"/>
    <cellStyle name="Comma 16 2 6 2 2 3" xfId="1905" xr:uid="{9E8B08BF-7608-4D10-90E5-61A7A5002545}"/>
    <cellStyle name="Comma 16 2 6 2 2 4" xfId="3487" xr:uid="{45E7F656-A120-4359-B9B5-EAA002A87A14}"/>
    <cellStyle name="Comma 16 2 6 2 3" xfId="2302" xr:uid="{C108CD34-FEDA-44B5-BA88-F16760014F2C}"/>
    <cellStyle name="Comma 16 2 6 2 3 2" xfId="3884" xr:uid="{7546567C-999A-4A88-855D-F09F713392E0}"/>
    <cellStyle name="Comma 16 2 6 2 4" xfId="1511" xr:uid="{02148E2F-81C9-4869-BC81-DF62F743423F}"/>
    <cellStyle name="Comma 16 2 6 2 5" xfId="3093" xr:uid="{44B409B3-6ED8-4730-8223-CA37672ACEEF}"/>
    <cellStyle name="Comma 16 2 6 3" xfId="892" xr:uid="{E1BD70CB-86AC-455F-A221-9874EA845298}"/>
    <cellStyle name="Comma 16 2 6 3 2" xfId="2475" xr:uid="{D488A217-719F-44ED-8F83-C819B88EE492}"/>
    <cellStyle name="Comma 16 2 6 3 2 2" xfId="4057" xr:uid="{AE2D42A9-04A3-41B8-8DF8-3B7021196F14}"/>
    <cellStyle name="Comma 16 2 6 3 3" xfId="1684" xr:uid="{8984519B-964F-4D29-AFBB-7FE090A7CF71}"/>
    <cellStyle name="Comma 16 2 6 3 4" xfId="3266" xr:uid="{C4925CE2-F372-420F-A688-4291DB18F2F4}"/>
    <cellStyle name="Comma 16 2 6 4" xfId="2081" xr:uid="{D232B277-3AE6-4B02-8E12-CF26C147637C}"/>
    <cellStyle name="Comma 16 2 6 4 2" xfId="3663" xr:uid="{F97A5AB8-E001-4B0B-B515-AC550D37B188}"/>
    <cellStyle name="Comma 16 2 6 5" xfId="1290" xr:uid="{895C1380-BAB0-4342-9306-D7DC577DB19E}"/>
    <cellStyle name="Comma 16 2 6 6" xfId="2872" xr:uid="{B4CA6EA2-A42E-460D-BBEB-100CCC8E52E4}"/>
    <cellStyle name="Comma 16 2 7" xfId="561" xr:uid="{C98803CA-1060-4792-9CE3-2D866C89F5C3}"/>
    <cellStyle name="Comma 16 2 7 2" xfId="968" xr:uid="{D8954F23-37F4-4263-9560-84F36C631A87}"/>
    <cellStyle name="Comma 16 2 7 2 2" xfId="2551" xr:uid="{FA05A548-417D-4A3A-8F48-819738CFCD87}"/>
    <cellStyle name="Comma 16 2 7 2 2 2" xfId="4133" xr:uid="{2239C966-E0CA-4AAE-BFE3-8C04E42125B6}"/>
    <cellStyle name="Comma 16 2 7 2 3" xfId="1760" xr:uid="{A405ED85-1293-4FEE-88AE-18A524D24084}"/>
    <cellStyle name="Comma 16 2 7 2 4" xfId="3342" xr:uid="{57791707-42A1-4C3D-9B81-1654A91604A7}"/>
    <cellStyle name="Comma 16 2 7 3" xfId="2157" xr:uid="{8F8E142B-30C3-4832-9845-9347BA827835}"/>
    <cellStyle name="Comma 16 2 7 3 2" xfId="3739" xr:uid="{4C560B4C-1AE0-488E-B2AE-B46933E545D5}"/>
    <cellStyle name="Comma 16 2 7 4" xfId="1366" xr:uid="{F108117E-7618-420C-A669-B50664535922}"/>
    <cellStyle name="Comma 16 2 7 5" xfId="2948" xr:uid="{6EA4D4F1-70A3-4981-B92A-0664C9DDDA08}"/>
    <cellStyle name="Comma 16 2 8" xfId="637" xr:uid="{63BA5587-3FEB-4565-AA8A-7DC4A261629C}"/>
    <cellStyle name="Comma 16 2 8 2" xfId="1037" xr:uid="{C741655C-B208-48DB-86DA-3B9D26FC6ABC}"/>
    <cellStyle name="Comma 16 2 8 2 2" xfId="2620" xr:uid="{3679EE13-9E61-4A00-9B1D-EB2C66B40360}"/>
    <cellStyle name="Comma 16 2 8 2 2 2" xfId="4202" xr:uid="{EC488F60-F261-4F69-A5F9-90746A5F3463}"/>
    <cellStyle name="Comma 16 2 8 2 3" xfId="1829" xr:uid="{4A244DC5-58E1-4019-A3F9-ED0BE6EEEBE4}"/>
    <cellStyle name="Comma 16 2 8 2 4" xfId="3411" xr:uid="{FA2B2BB0-382A-4CF5-ACE2-A806ADBBDF29}"/>
    <cellStyle name="Comma 16 2 8 3" xfId="2226" xr:uid="{4A5350EB-FC00-45AA-98FB-91E22D665375}"/>
    <cellStyle name="Comma 16 2 8 3 2" xfId="3808" xr:uid="{7CE331C2-385F-4871-90B1-0439070ECF9D}"/>
    <cellStyle name="Comma 16 2 8 4" xfId="1435" xr:uid="{2A93C614-FA43-4283-B311-FD55AEC90439}"/>
    <cellStyle name="Comma 16 2 8 5" xfId="3017" xr:uid="{4EE2C211-E721-413A-A698-1024F7679626}"/>
    <cellStyle name="Comma 16 2 9" xfId="789" xr:uid="{46B53F7E-4E8D-4247-89EF-631952CDA45F}"/>
    <cellStyle name="Comma 16 2 9 2" xfId="1189" xr:uid="{D85F096D-9216-4201-9497-5EABB1548639}"/>
    <cellStyle name="Comma 16 2 9 2 2" xfId="2772" xr:uid="{26D9F5CA-BC6D-4633-A54F-FE63E1F7180A}"/>
    <cellStyle name="Comma 16 2 9 2 2 2" xfId="4354" xr:uid="{9B91D903-88CE-44C1-9AB3-F6A80C31E4E8}"/>
    <cellStyle name="Comma 16 2 9 2 3" xfId="1981" xr:uid="{B0A7F546-AF29-4FFE-95D6-805D341D24FC}"/>
    <cellStyle name="Comma 16 2 9 2 4" xfId="3563" xr:uid="{39C66B43-1C04-46BD-963C-213AD2A9F89D}"/>
    <cellStyle name="Comma 16 2 9 3" xfId="2378" xr:uid="{187F501B-801C-464C-9A37-A95C3AEF7661}"/>
    <cellStyle name="Comma 16 2 9 3 2" xfId="3960" xr:uid="{8F48BB80-AD2E-489D-A04A-FBBB86B41536}"/>
    <cellStyle name="Comma 16 2 9 4" xfId="1587" xr:uid="{CF24AE77-2744-4AC4-AE1F-6706229DA4D0}"/>
    <cellStyle name="Comma 16 2 9 5" xfId="3169" xr:uid="{5624E289-D758-4765-BAA8-3FBFC7D6B5A5}"/>
    <cellStyle name="Comma 16 3" xfId="156" xr:uid="{52575C66-688A-4110-BAE9-9C299C2D0E11}"/>
    <cellStyle name="Comma 16 3 2" xfId="360" xr:uid="{B52585DD-BFF9-44D8-9225-D5330613EF83}"/>
    <cellStyle name="Comma 16 3 2 2" xfId="375" xr:uid="{A6558026-88E4-45E9-B4FB-E1E30F6250E0}"/>
    <cellStyle name="Comma 16 3 2 2 2" xfId="461" xr:uid="{A4A80D98-DF65-479B-9AB8-8588B9A71603}"/>
    <cellStyle name="Comma 16 3 2 3" xfId="446" xr:uid="{E077240E-4032-4E41-A7A7-02E303CDA502}"/>
    <cellStyle name="Comma 16 3 3" xfId="368" xr:uid="{78CDF1FB-3FD8-44D4-93AF-C47DDC82F0A7}"/>
    <cellStyle name="Comma 16 3 3 2" xfId="454" xr:uid="{2F3B80BD-35E4-4E63-BCB9-958E225AAE8D}"/>
    <cellStyle name="Comma 16 3 4" xfId="439" xr:uid="{58EA9D64-E245-490E-BAF3-48B195B440FE}"/>
    <cellStyle name="Comma 16 4" xfId="359" xr:uid="{B3390A86-D0F9-43C4-AE4E-F7A804714B83}"/>
    <cellStyle name="Comma 16 4 2" xfId="374" xr:uid="{3BDFF71D-22AA-401C-BDF2-8B69021088F4}"/>
    <cellStyle name="Comma 16 4 2 2" xfId="460" xr:uid="{8644ACE4-1923-4408-9CB9-329F3E3C7D3F}"/>
    <cellStyle name="Comma 16 4 3" xfId="445" xr:uid="{B25987C2-9C15-47F7-82B9-23CC7F07D694}"/>
    <cellStyle name="Comma 16 5" xfId="367" xr:uid="{3B78333F-D28B-4085-AFF0-B87EE9FD967C}"/>
    <cellStyle name="Comma 16 5 2" xfId="453" xr:uid="{590B4B55-8465-4E63-A518-6E74C3DDAED4}"/>
    <cellStyle name="Comma 16 6" xfId="438" xr:uid="{BE63F9CD-C404-4DD9-9631-4877E89C3503}"/>
    <cellStyle name="Comma 17" xfId="157" xr:uid="{2A6DB5C2-943D-408D-AA75-8A3567EE0CE0}"/>
    <cellStyle name="Comma 17 2" xfId="158" xr:uid="{E5809E7F-2BB9-4082-856A-C8761A638DD9}"/>
    <cellStyle name="Comma 17 2 2" xfId="335" xr:uid="{229BF455-D677-4617-B178-B0D2C137D4F2}"/>
    <cellStyle name="Comma 17 2 2 2" xfId="354" xr:uid="{0C71E257-C3A8-4B7E-B60A-9290A1DA78C8}"/>
    <cellStyle name="Comma 17 2 2 2 2" xfId="432" xr:uid="{A3721C0D-380F-44D9-A4C7-7557373FCEB9}"/>
    <cellStyle name="Comma 17 2 2 3" xfId="413" xr:uid="{BE75F144-7050-4DA0-B520-6B7408D3BAFC}"/>
    <cellStyle name="Comma 17 2 3" xfId="345" xr:uid="{2271C9D6-EBB2-470A-8E80-E0033122C393}"/>
    <cellStyle name="Comma 17 2 3 2" xfId="423" xr:uid="{252CAFB7-D67B-4F86-97AD-9DB85DC7D047}"/>
    <cellStyle name="Comma 17 2 4" xfId="398" xr:uid="{B767B8C3-E513-4E13-98CD-264EF76947C3}"/>
    <cellStyle name="Comma 17 3" xfId="334" xr:uid="{FF8C0629-2388-43FC-8A89-3D0B87C08CF1}"/>
    <cellStyle name="Comma 17 3 2" xfId="353" xr:uid="{EAD09C9E-8347-47D6-B036-57458500F10E}"/>
    <cellStyle name="Comma 17 3 2 2" xfId="431" xr:uid="{65866359-065E-43F3-A066-BA5222630387}"/>
    <cellStyle name="Comma 17 3 3" xfId="412" xr:uid="{2F342207-8506-4C34-AA00-212CA7C132AE}"/>
    <cellStyle name="Comma 17 4" xfId="344" xr:uid="{5D628815-D25F-4CDC-814B-3AFEB8223A3B}"/>
    <cellStyle name="Comma 17 4 2" xfId="422" xr:uid="{E8BC8101-E70E-44CE-ABE3-17A8AC54D870}"/>
    <cellStyle name="Comma 17 5" xfId="397" xr:uid="{275BA9CE-3606-488A-BD46-6F967F7E80D2}"/>
    <cellStyle name="Comma 18" xfId="159" xr:uid="{64D11951-4EE0-46AF-B8EC-6A76C801D97E}"/>
    <cellStyle name="Comma 18 2" xfId="160" xr:uid="{2FD74B47-ABC0-43B3-9F20-29564118B08C}"/>
    <cellStyle name="Comma 18 2 2" xfId="361" xr:uid="{5FADD8A2-24B9-4C0B-B261-7D8F4437A4EE}"/>
    <cellStyle name="Comma 18 2 2 2" xfId="376" xr:uid="{AEC1A1B4-EF63-461F-8BDB-220763441922}"/>
    <cellStyle name="Comma 18 2 2 2 2" xfId="462" xr:uid="{24E0CA99-C495-4869-8B4C-C1703B376CBD}"/>
    <cellStyle name="Comma 18 2 2 3" xfId="447" xr:uid="{6B9EEA55-EB56-4E1F-A5C5-8F3885951F0F}"/>
    <cellStyle name="Comma 18 2 3" xfId="369" xr:uid="{950C9FEA-8198-4059-8ACD-C24902F9DF70}"/>
    <cellStyle name="Comma 18 2 3 2" xfId="455" xr:uid="{B213FE0C-0928-45F4-83D6-40A2F89218E4}"/>
    <cellStyle name="Comma 18 2 4" xfId="440" xr:uid="{D466F494-065C-48FA-96C0-280814565987}"/>
    <cellStyle name="Comma 18 3" xfId="336" xr:uid="{C2EA27E4-FA2C-4235-860E-153F74DAEB8D}"/>
    <cellStyle name="Comma 18 3 2" xfId="355" xr:uid="{386F28D2-3AF5-4D67-B8B2-4E3B886A0C89}"/>
    <cellStyle name="Comma 18 3 2 2" xfId="433" xr:uid="{5666F3DA-45FD-4A0B-B869-9B1FCBF4669E}"/>
    <cellStyle name="Comma 18 3 3" xfId="414" xr:uid="{307F4FEF-4D1F-49E5-A131-E44D5DEC89B2}"/>
    <cellStyle name="Comma 18 4" xfId="346" xr:uid="{D8D53777-4EED-44E6-BE23-4175ACF05F05}"/>
    <cellStyle name="Comma 18 4 2" xfId="424" xr:uid="{CC24126D-72AD-4E48-AF06-0FF941BB2A9B}"/>
    <cellStyle name="Comma 18 5" xfId="399" xr:uid="{C55D23BF-3E5A-40C1-B121-C1083542DB1C}"/>
    <cellStyle name="Comma 19" xfId="161" xr:uid="{9CBF55C9-FD99-4B10-8EA1-DDF48A463158}"/>
    <cellStyle name="Comma 19 2" xfId="162" xr:uid="{F020A4B5-F89E-4B47-BA76-21B982DA3AAB}"/>
    <cellStyle name="Comma 2" xfId="163" xr:uid="{1EF1C452-8103-4CB6-9BC7-C778DA19DC91}"/>
    <cellStyle name="Comma 2 2" xfId="164" xr:uid="{C48472B3-EE5C-4736-96A3-2A87C46A0800}"/>
    <cellStyle name="Comma 2 3" xfId="165" xr:uid="{9346F6BE-04C6-4950-B62D-6F547B2D81B1}"/>
    <cellStyle name="Comma 2 3 2" xfId="362" xr:uid="{23E6C399-A6E7-4486-8723-9A04964664D9}"/>
    <cellStyle name="Comma 2 3 2 2" xfId="377" xr:uid="{3E51143A-57B2-4056-A585-CC00FE7BC2CB}"/>
    <cellStyle name="Comma 2 3 2 2 2" xfId="463" xr:uid="{BBEA774D-93F9-444C-8560-C25F647BD57A}"/>
    <cellStyle name="Comma 2 3 2 3" xfId="448" xr:uid="{BDB0F93A-5E0D-4912-9C54-840B141B34B9}"/>
    <cellStyle name="Comma 2 3 3" xfId="370" xr:uid="{C809F449-CA64-40FC-86C4-A413ECC45FBE}"/>
    <cellStyle name="Comma 2 3 3 2" xfId="456" xr:uid="{16B54FC9-E02E-4BD0-8B02-676D4E91FD34}"/>
    <cellStyle name="Comma 2 3 4" xfId="441" xr:uid="{1C6019E1-7055-4640-B7C0-C4A848EBD0D8}"/>
    <cellStyle name="Comma 2 4" xfId="330" xr:uid="{07E169F9-F554-4990-B090-24BEA59251A5}"/>
    <cellStyle name="Comma 2 4 2" xfId="366" xr:uid="{9A7AF689-314A-413F-AF9E-F5A6DE0DEBD8}"/>
    <cellStyle name="Comma 2 4 2 2" xfId="381" xr:uid="{DAD2205E-F64A-4D4C-B49F-50027CB39483}"/>
    <cellStyle name="Comma 2 4 2 2 2" xfId="467" xr:uid="{5EDF82FE-08EE-45C5-A2F0-8D6D3C3F07CE}"/>
    <cellStyle name="Comma 2 4 2 3" xfId="452" xr:uid="{B5BE74E5-9D80-42F9-AB17-0E1BCCEE5925}"/>
    <cellStyle name="Comma 2 4 3" xfId="373" xr:uid="{B2A03732-2C33-487F-B529-19B981E3815B}"/>
    <cellStyle name="Comma 2 4 3 2" xfId="459" xr:uid="{B5F0B740-21D2-457D-AF86-E1FC0A988711}"/>
    <cellStyle name="Comma 2 4 4" xfId="444" xr:uid="{3FA46B58-2121-4E42-80DD-0ACEC7D2D7D5}"/>
    <cellStyle name="Comma 2_IFRS MARZ-JUN-DIC DTT ( definitivo)" xfId="166" xr:uid="{AEC7761D-C631-4964-BD3A-58C83192F6ED}"/>
    <cellStyle name="Comma 20" xfId="167" xr:uid="{F9050980-1334-41D9-97C8-238F24CBD5F4}"/>
    <cellStyle name="Comma 21" xfId="168" xr:uid="{34A0AA13-4F02-466B-B955-0C6853700B9E}"/>
    <cellStyle name="Comma 22" xfId="169" xr:uid="{A1D77F6E-2549-4DAC-9C2C-0275BDDAB833}"/>
    <cellStyle name="Comma 22 2" xfId="363" xr:uid="{DA498AB0-F57C-41AB-8D66-1BAC4FA9966C}"/>
    <cellStyle name="Comma 22 2 2" xfId="378" xr:uid="{C7D2C8C2-88DB-4063-AAAA-02D53ED2C447}"/>
    <cellStyle name="Comma 22 2 2 2" xfId="464" xr:uid="{36AD69D6-898C-49E9-A231-602056E3CBB1}"/>
    <cellStyle name="Comma 22 2 3" xfId="449" xr:uid="{F0C86B57-6463-4960-B66A-79AF2EF71FDD}"/>
    <cellStyle name="Comma 22 3" xfId="371" xr:uid="{985F6704-7627-4341-B11B-D76B5977C359}"/>
    <cellStyle name="Comma 22 3 2" xfId="457" xr:uid="{5B968CE4-A156-4266-882B-5106321366F0}"/>
    <cellStyle name="Comma 22 4" xfId="442" xr:uid="{D00589C4-A763-40F0-A421-D47D07AD23D1}"/>
    <cellStyle name="Comma 3" xfId="170" xr:uid="{43E72FC8-1E5A-4994-98E2-A468383986AB}"/>
    <cellStyle name="Comma 4" xfId="171" xr:uid="{516BD775-7BCF-4CE9-A7DD-F4290722652F}"/>
    <cellStyle name="Comma 5" xfId="172" xr:uid="{CC08D4AA-0770-4DAD-A4C0-E340010B1BC2}"/>
    <cellStyle name="Comma 6" xfId="173" xr:uid="{90110279-2736-45DD-9AA3-E6EE72A25300}"/>
    <cellStyle name="Comma 7" xfId="174" xr:uid="{B243142C-0753-4085-B713-BDFE9F2529B2}"/>
    <cellStyle name="Comma 8" xfId="175" xr:uid="{69C856DF-3CAF-43A6-B4C6-45A688087BE7}"/>
    <cellStyle name="Comma 9" xfId="176" xr:uid="{B6DBDCB5-C1D1-46D0-9482-6D94AB61308D}"/>
    <cellStyle name="Comma0" xfId="177" xr:uid="{DF52F07C-F56A-4C13-84C8-F2957B5B8D31}"/>
    <cellStyle name="Company Name" xfId="178" xr:uid="{6CC4AAA7-A082-413A-B3B3-D0AFF24E3099}"/>
    <cellStyle name="CR Comma" xfId="179" xr:uid="{95CF211B-622B-4EE3-99B5-D5C35DBA3114}"/>
    <cellStyle name="CR Currency" xfId="180" xr:uid="{A341442D-6B45-4237-9D3A-437996370EBE}"/>
    <cellStyle name="Credit" xfId="181" xr:uid="{6EE97CA1-15C7-4FC7-AFF8-AF082AB33248}"/>
    <cellStyle name="Credit subtotal" xfId="182" xr:uid="{101C71A9-7FA4-4BD1-AD9A-B38F0D258CFB}"/>
    <cellStyle name="Credit subtotal 2" xfId="812" xr:uid="{261166B0-24E9-44AD-865F-349F93FDEF6C}"/>
    <cellStyle name="Credit Total" xfId="183" xr:uid="{2841B335-604E-4875-8156-056A8C3C85BF}"/>
    <cellStyle name="Currency %" xfId="184" xr:uid="{C8D0EA19-157B-4713-8184-2A0CD56DBB9B}"/>
    <cellStyle name="Currency 0.0" xfId="185" xr:uid="{4999D6F3-CAF2-4C92-8AA2-1F668BF41955}"/>
    <cellStyle name="Currency 0.0%" xfId="186" xr:uid="{888EC854-C1F4-4C37-A3D4-5D46138232E7}"/>
    <cellStyle name="Currency 0.0_Caso 10" xfId="187" xr:uid="{7811EE9F-DF6B-4565-A2F5-676C11F59B84}"/>
    <cellStyle name="Currency 0.00" xfId="188" xr:uid="{D90D9A5F-134B-4FE3-93F5-D36685827123}"/>
    <cellStyle name="Currency 0.00%" xfId="189" xr:uid="{2D2429AA-0FB1-4B8D-82BD-E816DB6660BC}"/>
    <cellStyle name="Currency 0.00_Caso 10" xfId="190" xr:uid="{A3E76BEF-5909-47EE-9417-8FADDF817BE4}"/>
    <cellStyle name="Currency 0.000" xfId="191" xr:uid="{28553815-89AA-4204-ADB2-FF1BC174F201}"/>
    <cellStyle name="Currency 0.000%" xfId="192" xr:uid="{B3D67C16-B9C5-436A-B69E-F3CFBF8A9929}"/>
    <cellStyle name="Currency 0.000_Caso 10" xfId="193" xr:uid="{B4D67A16-3BFF-4A2E-B86C-799B4DDD8827}"/>
    <cellStyle name="Currency0" xfId="194" xr:uid="{59081AD5-01F9-4CA2-922E-0170D0424174}"/>
    <cellStyle name="Date" xfId="195" xr:uid="{049DC7CC-09D6-44C3-BC8F-2E73D6887F24}"/>
    <cellStyle name="Debit" xfId="196" xr:uid="{02177FB2-E613-4E5F-BA2A-A50E54575A58}"/>
    <cellStyle name="Debit subtotal" xfId="197" xr:uid="{7D2BD52A-DE4F-401B-AEDE-8968186266EF}"/>
    <cellStyle name="Debit subtotal 2" xfId="813" xr:uid="{0776D2E0-7ADA-473E-B541-B6A71E49DFA4}"/>
    <cellStyle name="Debit Total" xfId="198" xr:uid="{FCDF3DCB-9F85-460C-BF09-8D08D17EBCFF}"/>
    <cellStyle name="Dezimal [0]_FBA-6" xfId="199" xr:uid="{742A8E44-10ED-406F-AD35-B9BAF76B23AF}"/>
    <cellStyle name="Dezimal_FBA-6" xfId="200" xr:uid="{34A0D7EC-C2D9-4C50-BF35-91A24132E8A7}"/>
    <cellStyle name="Dia" xfId="201" xr:uid="{8533DB62-28DF-40BA-8470-A4AED3004DAB}"/>
    <cellStyle name="Encabez1" xfId="202" xr:uid="{4E6CD92E-3E28-473A-8C58-9854BED6B38A}"/>
    <cellStyle name="Encabez2" xfId="203" xr:uid="{0DFCFB82-3AF5-4E2C-A921-ED600D2EA1B6}"/>
    <cellStyle name="Encabezado 1 2" xfId="383" xr:uid="{6B7097F9-FC94-4A75-95A4-F0687FB98CFB}"/>
    <cellStyle name="Encabezado 1 3" xfId="57" xr:uid="{E8E56DAC-BD46-4430-9A53-C1175C30921B}"/>
    <cellStyle name="Encabezado 2" xfId="204" xr:uid="{6ED5E929-F158-40B5-B0A9-3FE52A499C56}"/>
    <cellStyle name="Encabezado 4" xfId="26" builtinId="19" customBuiltin="1"/>
    <cellStyle name="Énfasis1" xfId="38" builtinId="29" customBuiltin="1"/>
    <cellStyle name="Énfasis2" xfId="41" builtinId="33" customBuiltin="1"/>
    <cellStyle name="Énfasis3" xfId="44" builtinId="37" customBuiltin="1"/>
    <cellStyle name="Énfasis4" xfId="47" builtinId="41" customBuiltin="1"/>
    <cellStyle name="Énfasis5" xfId="50" builtinId="45" customBuiltin="1"/>
    <cellStyle name="Énfasis6" xfId="53" builtinId="49" customBuiltin="1"/>
    <cellStyle name="Entrada" xfId="29" builtinId="20" customBuiltin="1"/>
    <cellStyle name="Euro" xfId="11" xr:uid="{C5877E21-ABC9-497F-BF5A-084DF3FF0D2F}"/>
    <cellStyle name="Euro 2" xfId="205" xr:uid="{E4EBB030-A70D-4CC5-9897-A8609CCE0BF9}"/>
    <cellStyle name="Explanatory Text 2" xfId="206" xr:uid="{F48A3166-6D1F-409D-8D0D-EB083F2FDC12}"/>
    <cellStyle name="Explanatory Text_IFRS MARZ-JUN-DIC DTT" xfId="207" xr:uid="{551B9DFC-EDBC-4A0D-858A-1FFD13726E9D}"/>
    <cellStyle name="F2" xfId="208" xr:uid="{3278A0F7-EF85-46E9-95DA-6ED07A1940C7}"/>
    <cellStyle name="F3" xfId="209" xr:uid="{C97B4E72-1898-42E3-8E5C-9C927CD06773}"/>
    <cellStyle name="F4" xfId="210" xr:uid="{18933BBE-26EE-4207-8BA3-E897F6BBB23D}"/>
    <cellStyle name="F5" xfId="211" xr:uid="{0E5B19DA-92FA-4953-9BAB-6BBB5CEA5E29}"/>
    <cellStyle name="F6" xfId="212" xr:uid="{6CC9E8AC-85C1-4486-AC43-D1D06367F731}"/>
    <cellStyle name="F7" xfId="213" xr:uid="{5E2994CF-CCCD-49FC-93F2-E6B1890B1A6B}"/>
    <cellStyle name="F8" xfId="214" xr:uid="{ACCFCA9F-3554-4C08-A40A-BB4330B03B95}"/>
    <cellStyle name="Fecha" xfId="215" xr:uid="{2812EAF5-F024-40C7-8BEA-95BC8BE89561}"/>
    <cellStyle name="Fijo" xfId="216" xr:uid="{3ECCDCB0-00A2-4473-8CD7-FDDEF2AB737A}"/>
    <cellStyle name="Financiero" xfId="217" xr:uid="{ACB3F312-FBFF-4976-8E74-AE460592BA5D}"/>
    <cellStyle name="Fixed" xfId="218" xr:uid="{65116D12-7972-488D-9355-C6D868388FC3}"/>
    <cellStyle name="Good 2" xfId="219" xr:uid="{6BCAD7AF-0595-4DE4-881E-769AFD528ED7}"/>
    <cellStyle name="Good_IFRS MARZ-JUN-DIC DTT" xfId="220" xr:uid="{F6A2F917-604A-444C-8846-74625115501D}"/>
    <cellStyle name="Grey" xfId="221" xr:uid="{3BCFE08F-1D0A-47B6-B846-2D581CFC540F}"/>
    <cellStyle name="group" xfId="222" xr:uid="{05A9AE81-D641-404A-A1F3-B5A355FD4F7C}"/>
    <cellStyle name="Header1" xfId="223" xr:uid="{3EFC28AA-49D0-4A29-95FC-14ECF32F46F2}"/>
    <cellStyle name="Header2" xfId="224" xr:uid="{9ED9B41A-63BD-4FBB-A43B-E36F0B9DB523}"/>
    <cellStyle name="Heading" xfId="225" xr:uid="{83744C4B-3589-400C-ADDD-793112D3C638}"/>
    <cellStyle name="Heading 1 2" xfId="226" xr:uid="{851981CB-0948-4232-A599-B2AC3BD153CB}"/>
    <cellStyle name="Heading 1_IFRS MARZ-JUN-DIC DTT ( definitivo)" xfId="227" xr:uid="{67D064AC-7D56-4297-B3DD-1F11FE0A877A}"/>
    <cellStyle name="Heading 2 2" xfId="228" xr:uid="{9D71DDF8-4881-4D7C-B7FD-6EAEEB057E37}"/>
    <cellStyle name="Heading 2_IFRS MARZ-JUN-DIC DTT ( definitivo)" xfId="229" xr:uid="{8007B8D1-8C46-4235-B87B-32EA421DA5F7}"/>
    <cellStyle name="Heading 3 2" xfId="230" xr:uid="{17ECDB87-8C18-4046-B3C7-90799AE04A79}"/>
    <cellStyle name="Heading 3_IFRS MARZ-JUN-DIC DTT" xfId="231" xr:uid="{731AB346-9471-4DDD-8D55-69149CDCA058}"/>
    <cellStyle name="Heading 4 2" xfId="232" xr:uid="{564A2EC0-9A93-47D5-AA4E-D539603E1B9F}"/>
    <cellStyle name="Heading 4_IFRS MARZ-JUN-DIC DTT" xfId="233" xr:uid="{6EFC70E0-4176-4012-8B9E-77F1AE07599E}"/>
    <cellStyle name="Heading No Underline" xfId="234" xr:uid="{43EF5251-81DA-4CAE-94D5-ABAE8E7A5952}"/>
    <cellStyle name="Heading With Underline" xfId="235" xr:uid="{6713AC55-0A6A-4917-A3DF-09C291F9C20E}"/>
    <cellStyle name="Heading1" xfId="236" xr:uid="{A1631F05-BC7E-4067-BCFF-069A680165CE}"/>
    <cellStyle name="Heading2" xfId="237" xr:uid="{BD476350-49EF-4A39-8779-17F9BD12A258}"/>
    <cellStyle name="Incorrecto" xfId="28" builtinId="27" customBuiltin="1"/>
    <cellStyle name="Input [yellow]" xfId="238" xr:uid="{0EEED299-CEF3-4ABD-9729-B92CA9F28BF1}"/>
    <cellStyle name="Input 2" xfId="239" xr:uid="{55A6CCB5-AA28-460B-B725-852F223CE861}"/>
    <cellStyle name="Input 2 2" xfId="814" xr:uid="{FC2FC375-5871-4158-9D8F-9C751167B750}"/>
    <cellStyle name="Input_IFRS MARZ-JUN-DIC DTT" xfId="240" xr:uid="{893EFBFD-114D-4EA0-954C-90786D9B5FF5}"/>
    <cellStyle name="invisible" xfId="241" xr:uid="{2C9E3E7C-CCED-445E-B833-47534FA8DDE3}"/>
    <cellStyle name="Linked Cell 2" xfId="242" xr:uid="{7C8BD1C5-144B-4F01-82C4-0E617A215ACE}"/>
    <cellStyle name="Linked Cell_IFRS MARZ-JUN-DIC DTT" xfId="243" xr:uid="{9C6AD493-2C8A-4500-89E5-05A9697B2CD4}"/>
    <cellStyle name="longtext" xfId="244" xr:uid="{8B9C278B-7C13-41DE-910A-454503E6696B}"/>
    <cellStyle name="ltext" xfId="245" xr:uid="{242118F8-848D-471E-AB97-431CB378FD87}"/>
    <cellStyle name="MainHead" xfId="246" xr:uid="{C8987EFC-F301-478C-A9E8-C7C1ECB64A72}"/>
    <cellStyle name="miles" xfId="247" xr:uid="{8A4A8DDB-E7D7-45D6-A701-29EE662FFC95}"/>
    <cellStyle name="Millares" xfId="9" builtinId="3"/>
    <cellStyle name="millares (0)" xfId="248" xr:uid="{A77E32D8-378C-4DBD-9EF0-5D5C34782B95}"/>
    <cellStyle name="Millares [0]" xfId="1" builtinId="6"/>
    <cellStyle name="Millares [0] 2" xfId="437" xr:uid="{36F58E11-86CC-4F8A-BEF8-10CA991CF9E1}"/>
    <cellStyle name="Millares [0] 3" xfId="4376" xr:uid="{40184641-6CE4-4585-82A3-1DC4EAE74C30}"/>
    <cellStyle name="Millares 10" xfId="8" xr:uid="{00000000-0005-0000-0000-000002000000}"/>
    <cellStyle name="Millares 10 10" xfId="2803" xr:uid="{FF76B0D4-35D2-4F1C-9949-5C7E3E529D06}"/>
    <cellStyle name="Millares 10 11" xfId="340" xr:uid="{DAA919EE-D14D-48C4-8A4B-8E9F3874E6DB}"/>
    <cellStyle name="Millares 10 2" xfId="418" xr:uid="{0163CA79-8C65-4014-A245-AA15AFB6800A}"/>
    <cellStyle name="Millares 10 2 2" xfId="533" xr:uid="{4DF11C21-9CCA-4277-AE68-77D668276813}"/>
    <cellStyle name="Millares 10 2 2 2" xfId="761" xr:uid="{D3C7CFD2-BA7A-4A2B-B8D9-48267165788F}"/>
    <cellStyle name="Millares 10 2 2 2 2" xfId="1161" xr:uid="{D90CA46A-CBF0-49DA-BE39-4BA741461F14}"/>
    <cellStyle name="Millares 10 2 2 2 2 2" xfId="2744" xr:uid="{33A37F0D-93D5-46F2-864A-D1418B20CBE3}"/>
    <cellStyle name="Millares 10 2 2 2 2 2 2" xfId="4326" xr:uid="{F62ABC2D-3975-48B2-B694-96D67D757F9D}"/>
    <cellStyle name="Millares 10 2 2 2 2 3" xfId="1953" xr:uid="{1619AA47-3FB0-46D9-9580-6B67CEAE5BCC}"/>
    <cellStyle name="Millares 10 2 2 2 2 4" xfId="3535" xr:uid="{B1B0BFA7-B88D-4041-96D2-12C6A3EF115E}"/>
    <cellStyle name="Millares 10 2 2 2 3" xfId="2350" xr:uid="{82E4230F-6641-457E-80D5-846941EFDC99}"/>
    <cellStyle name="Millares 10 2 2 2 3 2" xfId="3932" xr:uid="{265C3F49-ED14-4FBC-A80C-B4ED9F25992C}"/>
    <cellStyle name="Millares 10 2 2 2 4" xfId="1559" xr:uid="{F579FCD7-1FB3-4B2D-A7B2-67AE1D419BC3}"/>
    <cellStyle name="Millares 10 2 2 2 5" xfId="3141" xr:uid="{91D2130C-D024-4F09-BAF3-E049CFD19ACD}"/>
    <cellStyle name="Millares 10 2 2 3" xfId="940" xr:uid="{42CE28E1-E70E-48A9-B374-792B51282716}"/>
    <cellStyle name="Millares 10 2 2 3 2" xfId="2523" xr:uid="{D377DFF9-0CE2-49D8-8EAB-E4EB24049D4A}"/>
    <cellStyle name="Millares 10 2 2 3 2 2" xfId="4105" xr:uid="{EAECA69F-3C01-4626-A808-119B2C313204}"/>
    <cellStyle name="Millares 10 2 2 3 3" xfId="1732" xr:uid="{58812D08-3301-45FC-AF46-3441850B1C72}"/>
    <cellStyle name="Millares 10 2 2 3 4" xfId="3314" xr:uid="{CCF5B337-9638-44D8-A271-562950302270}"/>
    <cellStyle name="Millares 10 2 2 4" xfId="2129" xr:uid="{E4661B58-9623-4927-A6A0-561DF6D0BC0A}"/>
    <cellStyle name="Millares 10 2 2 4 2" xfId="3711" xr:uid="{0714AF32-1411-419C-B771-A50578208EC8}"/>
    <cellStyle name="Millares 10 2 2 5" xfId="1338" xr:uid="{E0E3E808-70F1-44A6-9D57-6B9ADE4BEE88}"/>
    <cellStyle name="Millares 10 2 2 6" xfId="2920" xr:uid="{546C5307-8703-48BA-80F7-4C35892477C0}"/>
    <cellStyle name="Millares 10 2 3" xfId="610" xr:uid="{CEFB67C7-075D-4131-8B04-739F1610E588}"/>
    <cellStyle name="Millares 10 2 3 2" xfId="1017" xr:uid="{9FB95020-B971-41FE-BFD1-E10D95FD885D}"/>
    <cellStyle name="Millares 10 2 3 2 2" xfId="2600" xr:uid="{BB095148-3726-4DB5-950E-49573C3F2B3C}"/>
    <cellStyle name="Millares 10 2 3 2 2 2" xfId="4182" xr:uid="{3C1E3085-1659-43EF-88D6-F4FF1E9B748E}"/>
    <cellStyle name="Millares 10 2 3 2 3" xfId="1809" xr:uid="{A66BC37E-3707-4B9D-87A9-6B353EA7DA6D}"/>
    <cellStyle name="Millares 10 2 3 2 4" xfId="3391" xr:uid="{91064E5D-0AB6-4F8C-8D1C-67CCC382550B}"/>
    <cellStyle name="Millares 10 2 3 3" xfId="2206" xr:uid="{B7837D75-65AA-4E45-83D5-E1788FFDA4D2}"/>
    <cellStyle name="Millares 10 2 3 3 2" xfId="3788" xr:uid="{50D4B739-7CE2-4961-9F24-6DF6F9FCB6C7}"/>
    <cellStyle name="Millares 10 2 3 4" xfId="1415" xr:uid="{7CB2D418-B12A-4B33-9ED7-0F3B7C4048C2}"/>
    <cellStyle name="Millares 10 2 3 5" xfId="2997" xr:uid="{DC8A6052-AA81-4A51-9E98-AA683F40EFC9}"/>
    <cellStyle name="Millares 10 2 4" xfId="685" xr:uid="{F80914E3-C2D4-4844-884B-D08731F34E41}"/>
    <cellStyle name="Millares 10 2 4 2" xfId="1085" xr:uid="{2C22DBBD-CFA0-413A-B868-D38141FA45A6}"/>
    <cellStyle name="Millares 10 2 4 2 2" xfId="2668" xr:uid="{855BCD90-7107-4284-9231-927D9C3BC771}"/>
    <cellStyle name="Millares 10 2 4 2 2 2" xfId="4250" xr:uid="{58AEA86B-4FE4-4582-804E-04C86EC0C494}"/>
    <cellStyle name="Millares 10 2 4 2 3" xfId="1877" xr:uid="{6A5D5C33-AA64-4483-B738-FF959F95B2ED}"/>
    <cellStyle name="Millares 10 2 4 2 4" xfId="3459" xr:uid="{59097E32-271D-4DD3-86A5-9617230E38B1}"/>
    <cellStyle name="Millares 10 2 4 3" xfId="2274" xr:uid="{76E60836-44F5-4AB1-88A8-0EE0B7D31D87}"/>
    <cellStyle name="Millares 10 2 4 3 2" xfId="3856" xr:uid="{22F24F26-FA6C-4EDC-A870-9CC35E95C4B4}"/>
    <cellStyle name="Millares 10 2 4 4" xfId="1483" xr:uid="{46C94E5D-6B32-4D6B-AE15-3A3D5F4B0CE5}"/>
    <cellStyle name="Millares 10 2 4 5" xfId="3065" xr:uid="{9D98F617-339C-4156-90E2-600891EF898A}"/>
    <cellStyle name="Millares 10 2 5" xfId="864" xr:uid="{95D2F3DB-8A0D-45C9-9637-6D893DD93D4C}"/>
    <cellStyle name="Millares 10 2 5 2" xfId="2447" xr:uid="{15CBC6BE-D8F4-4AFB-ABE6-52557F25CE92}"/>
    <cellStyle name="Millares 10 2 5 2 2" xfId="4029" xr:uid="{A0AA574E-CD9C-4F69-9039-3BDC1556513B}"/>
    <cellStyle name="Millares 10 2 5 3" xfId="1656" xr:uid="{758F824D-E101-45BD-B630-ED9ADF8933E4}"/>
    <cellStyle name="Millares 10 2 5 4" xfId="3238" xr:uid="{8EA2D8A7-3BC8-408E-B126-4C70DFFBFBA3}"/>
    <cellStyle name="Millares 10 2 6" xfId="2053" xr:uid="{2D4D2865-3873-4093-A41C-4E1F6EF770B4}"/>
    <cellStyle name="Millares 10 2 6 2" xfId="3635" xr:uid="{524B643B-A740-4E4D-9062-46893A32EB70}"/>
    <cellStyle name="Millares 10 2 7" xfId="1262" xr:uid="{3127F887-7F3B-49F3-9574-3B7D611AD6EE}"/>
    <cellStyle name="Millares 10 2 8" xfId="2844" xr:uid="{C2F06477-473D-46FB-9C19-E0560016A9D1}"/>
    <cellStyle name="Millares 10 3" xfId="492" xr:uid="{23D286ED-96E5-438C-B2B2-881F32A7DA44}"/>
    <cellStyle name="Millares 10 3 2" xfId="720" xr:uid="{3DDDD8A7-6D5D-40A9-941A-138136F5E01B}"/>
    <cellStyle name="Millares 10 3 2 2" xfId="1120" xr:uid="{C5FC1E62-F34B-42D7-B74E-2A1034645A25}"/>
    <cellStyle name="Millares 10 3 2 2 2" xfId="2703" xr:uid="{A3C18516-DE88-4E12-B467-A7BB8ED58F73}"/>
    <cellStyle name="Millares 10 3 2 2 2 2" xfId="4285" xr:uid="{A7C89550-D905-4ECB-8679-612AF10E7AB1}"/>
    <cellStyle name="Millares 10 3 2 2 3" xfId="1912" xr:uid="{D9824532-BD4C-419C-8EC5-4869E2C3C2E6}"/>
    <cellStyle name="Millares 10 3 2 2 4" xfId="3494" xr:uid="{295C7957-F016-4D54-B463-5C2CDE534D7C}"/>
    <cellStyle name="Millares 10 3 2 3" xfId="2309" xr:uid="{EDB3F78E-8244-46F0-8936-096B0FC51CD0}"/>
    <cellStyle name="Millares 10 3 2 3 2" xfId="3891" xr:uid="{B5CAA6EB-3E83-4C6D-BFB1-13C62F18304E}"/>
    <cellStyle name="Millares 10 3 2 4" xfId="1518" xr:uid="{669A320A-4413-45BC-8828-8FC67BA0B869}"/>
    <cellStyle name="Millares 10 3 2 5" xfId="3100" xr:uid="{2834DEFF-D081-4C64-9B0E-66C5B2C97D80}"/>
    <cellStyle name="Millares 10 3 3" xfId="899" xr:uid="{6073C452-90AB-4120-9E92-8FD291270488}"/>
    <cellStyle name="Millares 10 3 3 2" xfId="2482" xr:uid="{9C6AEE09-DD87-4C40-822A-3F09930E42B5}"/>
    <cellStyle name="Millares 10 3 3 2 2" xfId="4064" xr:uid="{E3AFEF3B-7CA3-4CE4-8FFB-944223F6F64B}"/>
    <cellStyle name="Millares 10 3 3 3" xfId="1691" xr:uid="{8FDE0680-6994-4513-8647-2929B24CE8A4}"/>
    <cellStyle name="Millares 10 3 3 4" xfId="3273" xr:uid="{44E75485-7FDB-43DA-9646-02A746695145}"/>
    <cellStyle name="Millares 10 3 4" xfId="2088" xr:uid="{C5F2D238-AEC9-4222-8BBD-9E7B1FB7ED43}"/>
    <cellStyle name="Millares 10 3 4 2" xfId="3670" xr:uid="{F633AB63-E6D1-49DA-A4D8-49988A565540}"/>
    <cellStyle name="Millares 10 3 5" xfId="1297" xr:uid="{A301B24E-942F-42AD-82E6-833B082C5567}"/>
    <cellStyle name="Millares 10 3 6" xfId="2879" xr:uid="{916D8A25-6395-440E-84AF-8CCCBCE5B8B5}"/>
    <cellStyle name="Millares 10 4" xfId="569" xr:uid="{9A0CC892-B53A-4790-9827-E98A2CE94D4B}"/>
    <cellStyle name="Millares 10 4 2" xfId="976" xr:uid="{E5415948-03C1-4321-8D91-7D49013CF393}"/>
    <cellStyle name="Millares 10 4 2 2" xfId="2559" xr:uid="{096F4811-2658-4B5E-B2F6-02AC31AB32F7}"/>
    <cellStyle name="Millares 10 4 2 2 2" xfId="4141" xr:uid="{DD5F11DB-E6F1-467D-BBBA-FDDB2F9E7EE2}"/>
    <cellStyle name="Millares 10 4 2 3" xfId="1768" xr:uid="{1431D483-A887-4F6D-856A-537E7C4DA105}"/>
    <cellStyle name="Millares 10 4 2 4" xfId="3350" xr:uid="{C1755DD1-E381-4F16-9638-4C4689EC4DA0}"/>
    <cellStyle name="Millares 10 4 3" xfId="2165" xr:uid="{A73D6003-1FA4-491A-9C50-A2E110422BDB}"/>
    <cellStyle name="Millares 10 4 3 2" xfId="3747" xr:uid="{FF2DBDAE-AB25-47DC-AA84-697D61896ADA}"/>
    <cellStyle name="Millares 10 4 4" xfId="1374" xr:uid="{9A10E027-9023-4625-AB10-C54A13838C3D}"/>
    <cellStyle name="Millares 10 4 5" xfId="2956" xr:uid="{95B7AB5F-C038-4FD5-AD35-110E5241936D}"/>
    <cellStyle name="Millares 10 5" xfId="644" xr:uid="{4E4DCB20-99AA-4C82-A240-4E0DE9606860}"/>
    <cellStyle name="Millares 10 5 2" xfId="1044" xr:uid="{E7B926FE-DD2F-4224-A121-2F36415CBC16}"/>
    <cellStyle name="Millares 10 5 2 2" xfId="2627" xr:uid="{FCF348DE-A456-42F1-94E3-A86D0C4F2A92}"/>
    <cellStyle name="Millares 10 5 2 2 2" xfId="4209" xr:uid="{271FA42D-E4D3-47ED-8F51-62D6F52C44A1}"/>
    <cellStyle name="Millares 10 5 2 3" xfId="1836" xr:uid="{6BD90A6A-3BB1-4146-9B14-D4EE2B69D095}"/>
    <cellStyle name="Millares 10 5 2 4" xfId="3418" xr:uid="{C67F37E1-F592-4893-A0D5-4BAB4DD9A07C}"/>
    <cellStyle name="Millares 10 5 3" xfId="2233" xr:uid="{22460C01-0242-4C44-8F6A-F4B0475E97B8}"/>
    <cellStyle name="Millares 10 5 3 2" xfId="3815" xr:uid="{A4A82B00-244B-4A1B-9E18-CC5A732282D1}"/>
    <cellStyle name="Millares 10 5 4" xfId="1442" xr:uid="{2977742B-383D-4E6E-BC46-6C947755EBCF}"/>
    <cellStyle name="Millares 10 5 5" xfId="3024" xr:uid="{3F3B1A2F-9903-48FE-ACEF-BDA8C416C7D6}"/>
    <cellStyle name="Millares 10 6" xfId="796" xr:uid="{0C307009-294B-4BAE-B50C-07DD56140C87}"/>
    <cellStyle name="Millares 10 6 2" xfId="1196" xr:uid="{E16E0104-BD86-4D9C-87D8-3895B09AD1EA}"/>
    <cellStyle name="Millares 10 6 2 2" xfId="2779" xr:uid="{F5689E8A-CD7D-4F2B-A0DB-DBDFB5C40683}"/>
    <cellStyle name="Millares 10 6 2 2 2" xfId="4361" xr:uid="{825DC06A-B66F-447D-90A0-2FBC971C341C}"/>
    <cellStyle name="Millares 10 6 2 3" xfId="1988" xr:uid="{DFAAF8DA-2C4D-478D-AF16-8BBD9C7AE52B}"/>
    <cellStyle name="Millares 10 6 2 4" xfId="3570" xr:uid="{EE00FEA1-705C-4482-911C-6A75CA2BCFEA}"/>
    <cellStyle name="Millares 10 6 3" xfId="2385" xr:uid="{32A8FFD4-FA34-426F-878F-4B544D22D3F1}"/>
    <cellStyle name="Millares 10 6 3 2" xfId="3967" xr:uid="{5FD44438-4936-4FC2-A5C5-2DBFFDDA71F8}"/>
    <cellStyle name="Millares 10 6 4" xfId="1594" xr:uid="{65F6D468-4B15-432B-8830-6886DFB6B998}"/>
    <cellStyle name="Millares 10 6 5" xfId="3176" xr:uid="{9BA9AC48-DB04-496F-A697-AB875E7290BA}"/>
    <cellStyle name="Millares 10 7" xfId="823" xr:uid="{F7529659-82E7-4D12-8164-5091A84693A4}"/>
    <cellStyle name="Millares 10 7 2" xfId="2406" xr:uid="{EA5B3656-F285-47DE-8BD0-0A124E2B098A}"/>
    <cellStyle name="Millares 10 7 2 2" xfId="3988" xr:uid="{1919418E-475E-4D5D-AE56-A942FE012527}"/>
    <cellStyle name="Millares 10 7 3" xfId="1615" xr:uid="{7ED95844-0EF6-4222-BEEE-516626531EC2}"/>
    <cellStyle name="Millares 10 7 4" xfId="3197" xr:uid="{AEDA2630-2B73-4262-B3A0-7181CD84F591}"/>
    <cellStyle name="Millares 10 8" xfId="2012" xr:uid="{3389D921-BA72-4B13-9A5F-491C1ACBCC02}"/>
    <cellStyle name="Millares 10 8 2" xfId="3594" xr:uid="{9022C315-6C56-46E5-94EA-F62697EF3258}"/>
    <cellStyle name="Millares 10 9" xfId="1221" xr:uid="{9F338EDA-7277-4375-A59B-53C5EBF3E041}"/>
    <cellStyle name="Millares 11" xfId="347" xr:uid="{4DA86697-A607-4026-B0AD-11BEA429F06C}"/>
    <cellStyle name="Millares 11 10" xfId="2807" xr:uid="{232B444D-FF95-40E8-8701-7275A8F78AD6}"/>
    <cellStyle name="Millares 11 2" xfId="425" xr:uid="{E8ADC5C0-6B38-41B9-9B57-154164127CE3}"/>
    <cellStyle name="Millares 11 2 2" xfId="537" xr:uid="{D090E4D3-7F35-40E8-88DB-D1EA15D94C64}"/>
    <cellStyle name="Millares 11 2 2 2" xfId="765" xr:uid="{4442067B-A779-42AB-95D7-D3ACCAA072F3}"/>
    <cellStyle name="Millares 11 2 2 2 2" xfId="1165" xr:uid="{7AB971AB-35D1-4908-B31B-07014C23C745}"/>
    <cellStyle name="Millares 11 2 2 2 2 2" xfId="2748" xr:uid="{2629504D-1A12-43DE-9D99-12FF16F73DB7}"/>
    <cellStyle name="Millares 11 2 2 2 2 2 2" xfId="4330" xr:uid="{BD0975F8-DFE5-4471-BDE0-B6A40A01D228}"/>
    <cellStyle name="Millares 11 2 2 2 2 3" xfId="1957" xr:uid="{E258813C-6ECB-4185-91DD-BFBBDDDFAFEC}"/>
    <cellStyle name="Millares 11 2 2 2 2 4" xfId="3539" xr:uid="{5809D43C-CCFB-4084-8FB5-C65BE5414F47}"/>
    <cellStyle name="Millares 11 2 2 2 3" xfId="2354" xr:uid="{A26DA67D-2173-4669-801B-F41F3B61FD0E}"/>
    <cellStyle name="Millares 11 2 2 2 3 2" xfId="3936" xr:uid="{FDC004FE-C278-4E8F-AF5B-9E549B8DC7B2}"/>
    <cellStyle name="Millares 11 2 2 2 4" xfId="1563" xr:uid="{BC37B930-E168-4F69-9DDD-1FCDD00F2E4D}"/>
    <cellStyle name="Millares 11 2 2 2 5" xfId="3145" xr:uid="{6693E874-CB83-4B51-B066-8FB8DC0CA0C4}"/>
    <cellStyle name="Millares 11 2 2 3" xfId="944" xr:uid="{8AB93B58-D50F-425A-B990-E2A3646EB8CD}"/>
    <cellStyle name="Millares 11 2 2 3 2" xfId="2527" xr:uid="{BFB2B368-51A5-44E8-B638-40BCBF8267D9}"/>
    <cellStyle name="Millares 11 2 2 3 2 2" xfId="4109" xr:uid="{09D76760-65FC-454A-89D1-D1BF8009DB86}"/>
    <cellStyle name="Millares 11 2 2 3 3" xfId="1736" xr:uid="{E85457EB-9289-433D-BC24-537E873B174C}"/>
    <cellStyle name="Millares 11 2 2 3 4" xfId="3318" xr:uid="{C74341F1-FCB4-447D-BAA2-B1FCD8ED64C9}"/>
    <cellStyle name="Millares 11 2 2 4" xfId="2133" xr:uid="{8975A1C6-D56F-439A-B6D0-41DB4D548EC8}"/>
    <cellStyle name="Millares 11 2 2 4 2" xfId="3715" xr:uid="{E3EEEBC4-EC0F-4AF7-91C9-BE068B1B834A}"/>
    <cellStyle name="Millares 11 2 2 5" xfId="1342" xr:uid="{A41EAC44-0D3F-4E0E-AEA2-DE4EF2044ABA}"/>
    <cellStyle name="Millares 11 2 2 6" xfId="2924" xr:uid="{221596A0-9A58-4570-BECE-E21AF48B1885}"/>
    <cellStyle name="Millares 11 2 3" xfId="614" xr:uid="{BF3E77CF-4EE0-45E5-BC07-E54A1ACCC93C}"/>
    <cellStyle name="Millares 11 2 3 2" xfId="1021" xr:uid="{78710134-D577-479B-B836-798E4C8F8B7C}"/>
    <cellStyle name="Millares 11 2 3 2 2" xfId="2604" xr:uid="{E80AE6AB-6B39-4C0A-8055-FA82A44278A3}"/>
    <cellStyle name="Millares 11 2 3 2 2 2" xfId="4186" xr:uid="{132055BA-6ECB-424B-A7CF-BCD39644CA03}"/>
    <cellStyle name="Millares 11 2 3 2 3" xfId="1813" xr:uid="{3F3F1DD8-C04F-44E1-B9D8-4E0712BDB11D}"/>
    <cellStyle name="Millares 11 2 3 2 4" xfId="3395" xr:uid="{74E22226-17DA-4E62-BF28-93EF74649416}"/>
    <cellStyle name="Millares 11 2 3 3" xfId="2210" xr:uid="{AE55DF07-A2E5-4D05-9505-49C4C3BD001B}"/>
    <cellStyle name="Millares 11 2 3 3 2" xfId="3792" xr:uid="{FD7AE2C5-009B-4720-A73D-62FC0BF36775}"/>
    <cellStyle name="Millares 11 2 3 4" xfId="1419" xr:uid="{57184FE1-1E2A-4108-AB05-269DA7BBF458}"/>
    <cellStyle name="Millares 11 2 3 5" xfId="3001" xr:uid="{0D82EEEC-228D-4C3D-8C68-58020B954405}"/>
    <cellStyle name="Millares 11 2 4" xfId="689" xr:uid="{A3261CB7-4CA1-4D88-87FC-C91F0826818C}"/>
    <cellStyle name="Millares 11 2 4 2" xfId="1089" xr:uid="{32CDB666-3CC7-48A8-8413-045198F462EF}"/>
    <cellStyle name="Millares 11 2 4 2 2" xfId="2672" xr:uid="{49E1F428-9000-4825-878C-0009FBFD9C3A}"/>
    <cellStyle name="Millares 11 2 4 2 2 2" xfId="4254" xr:uid="{E42DCC4C-8346-4771-A984-D74E22663831}"/>
    <cellStyle name="Millares 11 2 4 2 3" xfId="1881" xr:uid="{76F1C9EC-CC0F-4189-8FC3-C69E3A6071F4}"/>
    <cellStyle name="Millares 11 2 4 2 4" xfId="3463" xr:uid="{23FFB1E5-772A-4862-9764-D16609DB18ED}"/>
    <cellStyle name="Millares 11 2 4 3" xfId="2278" xr:uid="{DCDBDB75-FD75-4E8C-ADB8-F1ACAECC77FC}"/>
    <cellStyle name="Millares 11 2 4 3 2" xfId="3860" xr:uid="{C536FE18-DB00-4DF5-903A-C20FDFDA2124}"/>
    <cellStyle name="Millares 11 2 4 4" xfId="1487" xr:uid="{B34D87F7-1897-46D5-8E91-10A318C668D6}"/>
    <cellStyle name="Millares 11 2 4 5" xfId="3069" xr:uid="{3A4FE140-6555-4ACA-A060-9940CFC73216}"/>
    <cellStyle name="Millares 11 2 5" xfId="868" xr:uid="{92F3EE75-40CE-4E9C-B2E2-1F2BEABA6E62}"/>
    <cellStyle name="Millares 11 2 5 2" xfId="2451" xr:uid="{384DF8D5-D100-4D0F-B1DD-BE727639A4DA}"/>
    <cellStyle name="Millares 11 2 5 2 2" xfId="4033" xr:uid="{25F9CBBF-54E7-4E4B-8C9B-08813953F086}"/>
    <cellStyle name="Millares 11 2 5 3" xfId="1660" xr:uid="{A1741B2C-AF02-45C3-B7FB-5CAFE3DECA74}"/>
    <cellStyle name="Millares 11 2 5 4" xfId="3242" xr:uid="{40583410-92FB-423B-8B21-ACF9D70FA5FC}"/>
    <cellStyle name="Millares 11 2 6" xfId="2057" xr:uid="{5D5521C3-D64E-4189-8E6E-65D253912EFF}"/>
    <cellStyle name="Millares 11 2 6 2" xfId="3639" xr:uid="{39F46994-6029-498D-B12A-6362CB533669}"/>
    <cellStyle name="Millares 11 2 7" xfId="1266" xr:uid="{014A1817-BDA1-4636-AA2F-2909BE1373AE}"/>
    <cellStyle name="Millares 11 2 8" xfId="2848" xr:uid="{0C42717D-C88E-46F5-BEE0-CCEF476FF4E6}"/>
    <cellStyle name="Millares 11 3" xfId="496" xr:uid="{EA78DFAA-2FAC-475A-AF02-BF38E9182B36}"/>
    <cellStyle name="Millares 11 3 2" xfId="724" xr:uid="{B66AACE5-28AC-434B-A588-861CE3B5D944}"/>
    <cellStyle name="Millares 11 3 2 2" xfId="1124" xr:uid="{E18D1597-53E4-4F4A-8E43-02B4A537671B}"/>
    <cellStyle name="Millares 11 3 2 2 2" xfId="2707" xr:uid="{B9CC23DA-F4EE-469E-B248-4C1EA9FFBAA6}"/>
    <cellStyle name="Millares 11 3 2 2 2 2" xfId="4289" xr:uid="{EA56636C-B708-4187-8D63-604ED48802F5}"/>
    <cellStyle name="Millares 11 3 2 2 3" xfId="1916" xr:uid="{7528D443-AC81-4B41-81FA-98BF6CF48E7E}"/>
    <cellStyle name="Millares 11 3 2 2 4" xfId="3498" xr:uid="{54B0C66C-B6EB-4061-853D-25971C85933F}"/>
    <cellStyle name="Millares 11 3 2 3" xfId="2313" xr:uid="{57F02E73-2651-4E5A-B785-8F083F322276}"/>
    <cellStyle name="Millares 11 3 2 3 2" xfId="3895" xr:uid="{E114EAE7-AFCE-467D-82E2-937BE8DE9287}"/>
    <cellStyle name="Millares 11 3 2 4" xfId="1522" xr:uid="{D25EA589-2D75-41B3-ACF3-7616CE4A16B0}"/>
    <cellStyle name="Millares 11 3 2 5" xfId="3104" xr:uid="{DEE2EA55-8164-45E2-8F77-24E70503A5E3}"/>
    <cellStyle name="Millares 11 3 3" xfId="903" xr:uid="{2E17135C-C043-4AC4-ADAC-F09EDECD27EA}"/>
    <cellStyle name="Millares 11 3 3 2" xfId="2486" xr:uid="{C157880F-D129-466D-9E71-D3D973A66AC8}"/>
    <cellStyle name="Millares 11 3 3 2 2" xfId="4068" xr:uid="{DF20C2C8-0508-462D-AE3E-1C80533CC8F0}"/>
    <cellStyle name="Millares 11 3 3 3" xfId="1695" xr:uid="{AD5D1E92-424D-4B6F-AB04-4843C20565EF}"/>
    <cellStyle name="Millares 11 3 3 4" xfId="3277" xr:uid="{7FD39176-D279-45AC-B932-3B943A056327}"/>
    <cellStyle name="Millares 11 3 4" xfId="2092" xr:uid="{52D3D432-7FBF-4293-B90C-504D4A36F68E}"/>
    <cellStyle name="Millares 11 3 4 2" xfId="3674" xr:uid="{C58B204C-62EB-4D0E-B6EB-94A53F946187}"/>
    <cellStyle name="Millares 11 3 5" xfId="1301" xr:uid="{E56B6053-DF2A-43C5-B39E-FB58588B7082}"/>
    <cellStyle name="Millares 11 3 6" xfId="2883" xr:uid="{5B22C8EC-4AB4-4E02-B2B3-DABDB4B0FA86}"/>
    <cellStyle name="Millares 11 4" xfId="573" xr:uid="{B6559F2B-F5FD-45F9-B1CC-D31BEE7B4155}"/>
    <cellStyle name="Millares 11 4 2" xfId="980" xr:uid="{48DF6082-339D-49ED-A9B9-568C62D4C646}"/>
    <cellStyle name="Millares 11 4 2 2" xfId="2563" xr:uid="{3A0F01E6-0FE9-4DFE-B05C-78003F12684C}"/>
    <cellStyle name="Millares 11 4 2 2 2" xfId="4145" xr:uid="{57C15F60-58D6-4FDB-9F73-221B89D02BBE}"/>
    <cellStyle name="Millares 11 4 2 3" xfId="1772" xr:uid="{A69417E1-C6AB-45A5-8F5B-66BC69C9D936}"/>
    <cellStyle name="Millares 11 4 2 4" xfId="3354" xr:uid="{47E9772C-2B55-40F8-9AF0-E5CB836F431F}"/>
    <cellStyle name="Millares 11 4 3" xfId="2169" xr:uid="{AD9825FA-6F3B-4E79-B4D0-4FBFA1C161D2}"/>
    <cellStyle name="Millares 11 4 3 2" xfId="3751" xr:uid="{49AA92C8-4DE0-4330-B2D4-3E45B578755F}"/>
    <cellStyle name="Millares 11 4 4" xfId="1378" xr:uid="{D1085913-403A-4EAA-BC99-E2961BC094E0}"/>
    <cellStyle name="Millares 11 4 5" xfId="2960" xr:uid="{17769F80-1ABB-4D9A-80D7-C4ED3C6C7BE6}"/>
    <cellStyle name="Millares 11 5" xfId="648" xr:uid="{495156B6-12DF-4332-BD70-E02516F8EDE2}"/>
    <cellStyle name="Millares 11 5 2" xfId="1048" xr:uid="{623929FC-ADBE-4D55-82AE-4D30C406FE45}"/>
    <cellStyle name="Millares 11 5 2 2" xfId="2631" xr:uid="{2C6163B5-D744-47FC-BB93-1C8F8346F6D6}"/>
    <cellStyle name="Millares 11 5 2 2 2" xfId="4213" xr:uid="{BB71ED8E-5ED4-4B48-A296-5F5F2099616E}"/>
    <cellStyle name="Millares 11 5 2 3" xfId="1840" xr:uid="{6216CB01-2724-459C-B895-F7C7B3875553}"/>
    <cellStyle name="Millares 11 5 2 4" xfId="3422" xr:uid="{A101C288-7CC1-4FD0-8E1C-F1573FD7B844}"/>
    <cellStyle name="Millares 11 5 3" xfId="2237" xr:uid="{089AEAED-83E4-4A44-8B29-1B76C8DF48F9}"/>
    <cellStyle name="Millares 11 5 3 2" xfId="3819" xr:uid="{652A7A9F-2A7E-425B-B168-AA64A8D6C02D}"/>
    <cellStyle name="Millares 11 5 4" xfId="1446" xr:uid="{E2D6D910-5563-46EE-99C7-9000E40B131D}"/>
    <cellStyle name="Millares 11 5 5" xfId="3028" xr:uid="{208DE003-4111-4241-AB56-0129167CE8AF}"/>
    <cellStyle name="Millares 11 6" xfId="800" xr:uid="{6873444B-1100-45DF-98FB-1818CAA5E816}"/>
    <cellStyle name="Millares 11 6 2" xfId="1200" xr:uid="{27E3BB7E-1B07-427D-AB29-13E7BFB3517F}"/>
    <cellStyle name="Millares 11 6 2 2" xfId="2783" xr:uid="{989CA4B9-CEB3-45CA-BFAE-00F797B6BD9F}"/>
    <cellStyle name="Millares 11 6 2 2 2" xfId="4365" xr:uid="{78D30B1B-AC8B-4E87-9408-C003B5F8FE94}"/>
    <cellStyle name="Millares 11 6 2 3" xfId="1992" xr:uid="{C768D9E6-5DCF-4C53-B5E8-79E11F05DE33}"/>
    <cellStyle name="Millares 11 6 2 4" xfId="3574" xr:uid="{4CEF92EC-D0E0-4A51-8CA3-ED2E585BF88A}"/>
    <cellStyle name="Millares 11 6 3" xfId="2389" xr:uid="{27CDBFC5-A704-48BA-9268-788DC3BD895D}"/>
    <cellStyle name="Millares 11 6 3 2" xfId="3971" xr:uid="{AE4B4B8A-F162-4DA2-8657-64EF2511EF3E}"/>
    <cellStyle name="Millares 11 6 4" xfId="1598" xr:uid="{F9FB122E-D4FA-46D3-904C-FAF550318F58}"/>
    <cellStyle name="Millares 11 6 5" xfId="3180" xr:uid="{484191FE-978A-44D2-9250-BE70688A0D22}"/>
    <cellStyle name="Millares 11 7" xfId="827" xr:uid="{35BB217A-9DCE-4A37-8913-C56A2475268E}"/>
    <cellStyle name="Millares 11 7 2" xfId="2410" xr:uid="{D4595875-5BB2-466E-B809-D597A15B5E39}"/>
    <cellStyle name="Millares 11 7 2 2" xfId="3992" xr:uid="{F6FD12E5-2217-4ACE-9192-5039CFECBE7B}"/>
    <cellStyle name="Millares 11 7 3" xfId="1619" xr:uid="{62EE9138-60F9-43E0-A313-98CD2F8DA799}"/>
    <cellStyle name="Millares 11 7 4" xfId="3201" xr:uid="{06FC7623-F1A4-471D-AD7C-4FD8BF347560}"/>
    <cellStyle name="Millares 11 8" xfId="2016" xr:uid="{98941544-8E23-44AC-A6F0-F7C98024FCC4}"/>
    <cellStyle name="Millares 11 8 2" xfId="3598" xr:uid="{5E4FA39D-55BC-411F-858F-BE3453262BBD}"/>
    <cellStyle name="Millares 11 9" xfId="1225" xr:uid="{0AE8B145-7CAE-4B17-8E63-91A29C5C09E4}"/>
    <cellStyle name="Millares 12" xfId="386" xr:uid="{5194AB36-4665-492A-BD2B-19C2A26EC1E9}"/>
    <cellStyle name="Millares 12 2" xfId="507" xr:uid="{9646B3B7-D52E-4F89-BF42-15C743A5CA71}"/>
    <cellStyle name="Millares 12 2 2" xfId="735" xr:uid="{82794B9C-E799-4AB1-AAB6-752169DE1ABD}"/>
    <cellStyle name="Millares 12 2 2 2" xfId="1135" xr:uid="{044529B6-133E-426B-82A4-6EE39DCB4C30}"/>
    <cellStyle name="Millares 12 2 2 2 2" xfId="2718" xr:uid="{8960419A-DACF-44F8-82E5-85449D43F57D}"/>
    <cellStyle name="Millares 12 2 2 2 2 2" xfId="4300" xr:uid="{ED448C86-D9A7-44A5-BA74-FC454F504BE8}"/>
    <cellStyle name="Millares 12 2 2 2 3" xfId="1927" xr:uid="{35954F48-957B-499C-8AB0-7839A8D7CD05}"/>
    <cellStyle name="Millares 12 2 2 2 4" xfId="3509" xr:uid="{9C942C69-5C33-4779-8971-DB80100BF695}"/>
    <cellStyle name="Millares 12 2 2 3" xfId="2324" xr:uid="{4BA3563D-F0BB-461C-82CA-769B27C36828}"/>
    <cellStyle name="Millares 12 2 2 3 2" xfId="3906" xr:uid="{A76595E0-DCFE-47DB-8EA4-5B298DEFA9AD}"/>
    <cellStyle name="Millares 12 2 2 4" xfId="1533" xr:uid="{1A7A8E06-2BD9-4E47-B1E9-E1F917C701E1}"/>
    <cellStyle name="Millares 12 2 2 5" xfId="3115" xr:uid="{FD69E315-85BF-4D1A-B6CC-A8BA701231EB}"/>
    <cellStyle name="Millares 12 2 3" xfId="914" xr:uid="{457C2DD9-2DB5-4CB1-BB61-432599CB0116}"/>
    <cellStyle name="Millares 12 2 3 2" xfId="2497" xr:uid="{EF2916A1-6AD2-4CB8-BE87-F5C06601E4C3}"/>
    <cellStyle name="Millares 12 2 3 2 2" xfId="4079" xr:uid="{6C6B5248-DF6A-429D-9D1A-4E788DD2D4CB}"/>
    <cellStyle name="Millares 12 2 3 3" xfId="1706" xr:uid="{8D6B14A2-2E4A-4868-9950-C6EE9DA21539}"/>
    <cellStyle name="Millares 12 2 3 4" xfId="3288" xr:uid="{79F0E52E-918E-494C-97AD-0EB2B91143FA}"/>
    <cellStyle name="Millares 12 2 4" xfId="2103" xr:uid="{BBBE33FB-08DB-46AD-AD20-9C9D44F2F598}"/>
    <cellStyle name="Millares 12 2 4 2" xfId="3685" xr:uid="{255517F9-6ABE-4784-9EFA-2F8D047282E4}"/>
    <cellStyle name="Millares 12 2 5" xfId="1312" xr:uid="{01C72954-98A8-4546-80B2-4187107029D4}"/>
    <cellStyle name="Millares 12 2 6" xfId="2894" xr:uid="{556F8E41-96DC-4EB4-884D-AA0482B9E6F0}"/>
    <cellStyle name="Millares 12 3" xfId="584" xr:uid="{AE24460D-7A0C-4EF0-A7B1-5F1F88ECDDF6}"/>
    <cellStyle name="Millares 12 3 2" xfId="991" xr:uid="{36DB26D5-A66D-475A-8CFB-BAD223FAB512}"/>
    <cellStyle name="Millares 12 3 2 2" xfId="2574" xr:uid="{233A95CA-5EC3-4B16-8452-182C6D1F503B}"/>
    <cellStyle name="Millares 12 3 2 2 2" xfId="4156" xr:uid="{E408B267-9A85-4A3D-8453-CD6356DAC8AA}"/>
    <cellStyle name="Millares 12 3 2 3" xfId="1783" xr:uid="{0E775F89-E1DB-4992-A8FD-8146A394F746}"/>
    <cellStyle name="Millares 12 3 2 4" xfId="3365" xr:uid="{DB9A7BA1-6105-4A47-927D-E8996F3C6B45}"/>
    <cellStyle name="Millares 12 3 3" xfId="2180" xr:uid="{8AAEAEBF-764F-417B-ABE2-0FFBBF3AC643}"/>
    <cellStyle name="Millares 12 3 3 2" xfId="3762" xr:uid="{8CA7C81F-E1E8-47B6-A86C-D79936BEF2FC}"/>
    <cellStyle name="Millares 12 3 4" xfId="1389" xr:uid="{36B47A0C-E6D2-42FE-803E-84DB7D65DE5E}"/>
    <cellStyle name="Millares 12 3 5" xfId="2971" xr:uid="{8126EAAE-69B0-4C11-8B72-4AE601997A4F}"/>
    <cellStyle name="Millares 12 4" xfId="659" xr:uid="{24F2C81F-6FFF-4BAB-AF85-C2E68796FC45}"/>
    <cellStyle name="Millares 12 4 2" xfId="1059" xr:uid="{6CB30098-AB4F-42E7-9111-EFA75F223DE4}"/>
    <cellStyle name="Millares 12 4 2 2" xfId="2642" xr:uid="{27533A2D-C2A8-49F1-BAA5-EA622BF9B255}"/>
    <cellStyle name="Millares 12 4 2 2 2" xfId="4224" xr:uid="{30DBB1B5-484D-4EF8-8043-66C2B48E5D3B}"/>
    <cellStyle name="Millares 12 4 2 3" xfId="1851" xr:uid="{2FF8400A-A2B8-413D-B895-D2A11D8FB1F1}"/>
    <cellStyle name="Millares 12 4 2 4" xfId="3433" xr:uid="{0DE286ED-F29F-4569-BE6C-F31F5342A4FF}"/>
    <cellStyle name="Millares 12 4 3" xfId="2248" xr:uid="{4DDA903E-20AE-47C2-9E04-1C95331DAAD0}"/>
    <cellStyle name="Millares 12 4 3 2" xfId="3830" xr:uid="{DED8979B-C065-4BF1-B79B-2D088EA0CFD9}"/>
    <cellStyle name="Millares 12 4 4" xfId="1457" xr:uid="{96F34FC4-80E7-49D6-B022-07A9C7F48303}"/>
    <cellStyle name="Millares 12 4 5" xfId="3039" xr:uid="{FF4BA7C2-F547-41BE-8BFD-8D18F3516F68}"/>
    <cellStyle name="Millares 12 5" xfId="838" xr:uid="{46AFF769-F393-4231-9CFF-984145C49A7B}"/>
    <cellStyle name="Millares 12 5 2" xfId="2421" xr:uid="{3D849504-D392-4250-8D8B-A816CC812400}"/>
    <cellStyle name="Millares 12 5 2 2" xfId="4003" xr:uid="{D0549395-707D-4DF7-A760-D5E9E3B30850}"/>
    <cellStyle name="Millares 12 5 3" xfId="1630" xr:uid="{7A01EA4B-D421-4EA5-BD03-EC4C784F7844}"/>
    <cellStyle name="Millares 12 5 4" xfId="3212" xr:uid="{C1AB67DE-6E7D-4D7F-818E-23304D39EB79}"/>
    <cellStyle name="Millares 12 6" xfId="2027" xr:uid="{B7179B7F-17CA-4314-ACD3-C6B676BA0A0A}"/>
    <cellStyle name="Millares 12 6 2" xfId="3609" xr:uid="{47C533AE-09EC-48C1-B372-51DDBA2366E0}"/>
    <cellStyle name="Millares 12 7" xfId="1236" xr:uid="{D3475E20-43B0-4F9A-96A8-15C21818603A}"/>
    <cellStyle name="Millares 12 8" xfId="2818" xr:uid="{3563DA10-A58F-4CBC-A973-704B01E9228F}"/>
    <cellStyle name="Millares 13" xfId="404" xr:uid="{C28BD87A-EF2F-4857-BF52-40437288B2F6}"/>
    <cellStyle name="Millares 13 2" xfId="522" xr:uid="{357B9867-556A-4AD5-BDB7-F36AF7BB81AD}"/>
    <cellStyle name="Millares 13 2 2" xfId="750" xr:uid="{467AC9AC-046B-43B8-8F8F-682FED38FF02}"/>
    <cellStyle name="Millares 13 2 2 2" xfId="1150" xr:uid="{ED9DDF31-612A-4EC6-A88B-2C8C1C598EE8}"/>
    <cellStyle name="Millares 13 2 2 2 2" xfId="2733" xr:uid="{4E68E65A-E000-4DD0-8B84-A6AF3691B458}"/>
    <cellStyle name="Millares 13 2 2 2 2 2" xfId="4315" xr:uid="{8D18AEF0-72AD-4739-BF6A-DC78412CB6FB}"/>
    <cellStyle name="Millares 13 2 2 2 3" xfId="1942" xr:uid="{815C50ED-4590-4675-AD9C-57A04EE97432}"/>
    <cellStyle name="Millares 13 2 2 2 4" xfId="3524" xr:uid="{6C63E6F7-BC5B-4C25-91B3-C42C757DB217}"/>
    <cellStyle name="Millares 13 2 2 3" xfId="2339" xr:uid="{E822D30D-2A40-4C82-9F7B-3D9D6F0C25D6}"/>
    <cellStyle name="Millares 13 2 2 3 2" xfId="3921" xr:uid="{8D4265DA-2DAD-4595-BE50-D7419F2746A6}"/>
    <cellStyle name="Millares 13 2 2 4" xfId="1548" xr:uid="{3B2445E2-F484-4A50-ABF9-64F213BBDD62}"/>
    <cellStyle name="Millares 13 2 2 5" xfId="3130" xr:uid="{4A7D27CF-3FFE-42C3-9210-08CA2FA50044}"/>
    <cellStyle name="Millares 13 2 3" xfId="929" xr:uid="{FF8AD706-F376-4ADB-B7B7-56A884595C34}"/>
    <cellStyle name="Millares 13 2 3 2" xfId="2512" xr:uid="{28D091CC-E678-4C9A-9B37-B9934EA092A6}"/>
    <cellStyle name="Millares 13 2 3 2 2" xfId="4094" xr:uid="{1DBCBFB2-D6FF-4830-A7B3-2EC0C8A7D7A7}"/>
    <cellStyle name="Millares 13 2 3 3" xfId="1721" xr:uid="{0558F49E-7CC1-444C-9B81-F72A223C0538}"/>
    <cellStyle name="Millares 13 2 3 4" xfId="3303" xr:uid="{5B78654D-CC73-4C89-BD2E-E7387658597D}"/>
    <cellStyle name="Millares 13 2 4" xfId="2118" xr:uid="{9EBA2BB2-E033-4F0F-9622-E5FF9BD077F2}"/>
    <cellStyle name="Millares 13 2 4 2" xfId="3700" xr:uid="{E99F23B1-FB2F-4661-B0FB-92DA33A97C9A}"/>
    <cellStyle name="Millares 13 2 5" xfId="1327" xr:uid="{14ED87C6-0BF6-431D-8D30-890CA95D7627}"/>
    <cellStyle name="Millares 13 2 6" xfId="2909" xr:uid="{10EB6D95-5971-4323-89DE-14BD4BF39912}"/>
    <cellStyle name="Millares 13 3" xfId="599" xr:uid="{C6F45E56-DC85-4590-B257-68EC9730991B}"/>
    <cellStyle name="Millares 13 3 2" xfId="1006" xr:uid="{220BCBA0-67ED-404C-A101-049BA84359FB}"/>
    <cellStyle name="Millares 13 3 2 2" xfId="2589" xr:uid="{7D7C6023-EFFE-4908-B362-1BE72116EAB8}"/>
    <cellStyle name="Millares 13 3 2 2 2" xfId="4171" xr:uid="{1718276B-7285-40BD-A5F4-2FD82801456D}"/>
    <cellStyle name="Millares 13 3 2 3" xfId="1798" xr:uid="{F21B8616-108D-4E82-AF10-24FA40CB1547}"/>
    <cellStyle name="Millares 13 3 2 4" xfId="3380" xr:uid="{B4BB6F86-7B26-4066-B43C-75A9CDAAAF59}"/>
    <cellStyle name="Millares 13 3 3" xfId="2195" xr:uid="{67C91A9C-A455-46DD-B923-7B2D71BB8A46}"/>
    <cellStyle name="Millares 13 3 3 2" xfId="3777" xr:uid="{8A6B79C2-A5F6-41AE-981C-D5FEA014FCF1}"/>
    <cellStyle name="Millares 13 3 4" xfId="1404" xr:uid="{32E12E33-7896-43F5-97C7-1598112D0ED1}"/>
    <cellStyle name="Millares 13 3 5" xfId="2986" xr:uid="{DF39C355-3828-41DE-8FB8-86B257B6B07C}"/>
    <cellStyle name="Millares 13 4" xfId="674" xr:uid="{11B82728-EEFF-43F9-AF9E-80ED67FAC903}"/>
    <cellStyle name="Millares 13 4 2" xfId="1074" xr:uid="{30AB53AD-CA8D-4C9C-8950-1317E3C2CA6C}"/>
    <cellStyle name="Millares 13 4 2 2" xfId="2657" xr:uid="{05584088-FDD4-447D-8280-441EBD9609E3}"/>
    <cellStyle name="Millares 13 4 2 2 2" xfId="4239" xr:uid="{CFB88BA7-8BE1-47A1-BE35-07ABDFE99C0A}"/>
    <cellStyle name="Millares 13 4 2 3" xfId="1866" xr:uid="{1399F468-58C6-4455-92D9-ECA96F74E1FB}"/>
    <cellStyle name="Millares 13 4 2 4" xfId="3448" xr:uid="{85CB4411-2EC2-42D4-B931-B9F92420AD37}"/>
    <cellStyle name="Millares 13 4 3" xfId="2263" xr:uid="{E037F4B8-E79A-46D6-983A-0F6CCABFCAB3}"/>
    <cellStyle name="Millares 13 4 3 2" xfId="3845" xr:uid="{C4A4583F-264B-4295-8E4B-F72045C1EC17}"/>
    <cellStyle name="Millares 13 4 4" xfId="1472" xr:uid="{81741033-A442-4363-933B-8B0F39E776D7}"/>
    <cellStyle name="Millares 13 4 5" xfId="3054" xr:uid="{C6B625FC-07AC-4ED6-8029-ED1F5E092DC4}"/>
    <cellStyle name="Millares 13 5" xfId="853" xr:uid="{D32761CF-F847-461D-B6F8-DD51ECF9FD6B}"/>
    <cellStyle name="Millares 13 5 2" xfId="2436" xr:uid="{12FE4205-3A68-485C-AB41-C33F22E4316C}"/>
    <cellStyle name="Millares 13 5 2 2" xfId="4018" xr:uid="{32E65C75-D70E-40A1-AE56-72E507737CDD}"/>
    <cellStyle name="Millares 13 5 3" xfId="1645" xr:uid="{DE77769F-307E-466F-ACD1-6E4D07A16031}"/>
    <cellStyle name="Millares 13 5 4" xfId="3227" xr:uid="{4265A25D-5BB2-448D-83A5-CDC431885D65}"/>
    <cellStyle name="Millares 13 6" xfId="2042" xr:uid="{39BC0842-10A2-4514-B38F-43AF5C08E324}"/>
    <cellStyle name="Millares 13 6 2" xfId="3624" xr:uid="{EA395558-69D9-4543-8046-95AC1653148C}"/>
    <cellStyle name="Millares 13 7" xfId="1251" xr:uid="{1DA909FF-28E0-425A-A08A-39D926022355}"/>
    <cellStyle name="Millares 13 8" xfId="2833" xr:uid="{94BE832B-8023-4862-BDC2-5EFB65A70E0C}"/>
    <cellStyle name="Millares 14" xfId="390" xr:uid="{46C838AA-48C8-45C2-98B1-BB5F356C1F50}"/>
    <cellStyle name="Millares 14 2" xfId="511" xr:uid="{821B4856-7A67-417F-9A73-3035E6FC02BD}"/>
    <cellStyle name="Millares 14 2 2" xfId="739" xr:uid="{FD44476D-DCD7-4965-B83A-DD8CE91A6AE9}"/>
    <cellStyle name="Millares 14 2 2 2" xfId="1139" xr:uid="{53167CFC-2A21-42C5-BEB6-3DD1A400BDF1}"/>
    <cellStyle name="Millares 14 2 2 2 2" xfId="2722" xr:uid="{5D87EE42-2A9F-4FEE-ABDC-32701E4FBC02}"/>
    <cellStyle name="Millares 14 2 2 2 2 2" xfId="4304" xr:uid="{935B38B3-7D0F-4F32-9B54-12D5EF98DB79}"/>
    <cellStyle name="Millares 14 2 2 2 3" xfId="1931" xr:uid="{842D3C01-BA84-4A61-B8D4-F992C53B1292}"/>
    <cellStyle name="Millares 14 2 2 2 4" xfId="3513" xr:uid="{B82425F9-791A-4DFE-8099-D57188E30AA9}"/>
    <cellStyle name="Millares 14 2 2 3" xfId="2328" xr:uid="{D8DB9C41-63D1-46EC-8ED4-74481618319B}"/>
    <cellStyle name="Millares 14 2 2 3 2" xfId="3910" xr:uid="{BD6D003D-94B9-4AF9-8354-84B3468FA294}"/>
    <cellStyle name="Millares 14 2 2 4" xfId="1537" xr:uid="{CB86A385-3730-4B23-9C2F-136C6D94776E}"/>
    <cellStyle name="Millares 14 2 2 5" xfId="3119" xr:uid="{8D5CD20B-80BA-4890-9ADA-88F291A27A1B}"/>
    <cellStyle name="Millares 14 2 3" xfId="918" xr:uid="{C5ECEA4A-8FD5-44FA-BE37-BD0B49B1087E}"/>
    <cellStyle name="Millares 14 2 3 2" xfId="2501" xr:uid="{99FF27B1-D72E-48A2-A2D2-3F58F1981F3F}"/>
    <cellStyle name="Millares 14 2 3 2 2" xfId="4083" xr:uid="{1F8A9CCA-DF13-4D40-9FE1-00BC01404E4C}"/>
    <cellStyle name="Millares 14 2 3 3" xfId="1710" xr:uid="{3878CCF5-1D60-425F-8E33-74A09FA87D16}"/>
    <cellStyle name="Millares 14 2 3 4" xfId="3292" xr:uid="{ECC6F8BD-9316-433C-A2DA-B918B8127148}"/>
    <cellStyle name="Millares 14 2 4" xfId="2107" xr:uid="{4A39E4B9-2CE3-448A-8826-854CC3AA7FF0}"/>
    <cellStyle name="Millares 14 2 4 2" xfId="3689" xr:uid="{B7FC7FF2-12DB-490E-A70B-4F01A0B2A4B8}"/>
    <cellStyle name="Millares 14 2 5" xfId="1316" xr:uid="{B2FDDF42-9B77-4D7F-9B60-FD7526F7CD39}"/>
    <cellStyle name="Millares 14 2 6" xfId="2898" xr:uid="{4FA69972-72F3-4B5F-99B4-32A01A19AD51}"/>
    <cellStyle name="Millares 14 3" xfId="588" xr:uid="{3F058D3E-6592-44B0-92A9-410BBA2E618A}"/>
    <cellStyle name="Millares 14 3 2" xfId="995" xr:uid="{75A35C65-D156-495D-A188-C3A4BEAFD4B7}"/>
    <cellStyle name="Millares 14 3 2 2" xfId="2578" xr:uid="{E186E1FA-2B49-43FF-A68A-8FBD1F551460}"/>
    <cellStyle name="Millares 14 3 2 2 2" xfId="4160" xr:uid="{3648B5CE-845F-4AA5-9EF2-01BA99F4CB5E}"/>
    <cellStyle name="Millares 14 3 2 3" xfId="1787" xr:uid="{C112EF20-C047-43EB-8759-5E9F98D9417F}"/>
    <cellStyle name="Millares 14 3 2 4" xfId="3369" xr:uid="{92392F85-D2C7-444F-8D74-9B0D1225BFCE}"/>
    <cellStyle name="Millares 14 3 3" xfId="2184" xr:uid="{4062E23E-AD24-4478-83B3-BC3C99D492EE}"/>
    <cellStyle name="Millares 14 3 3 2" xfId="3766" xr:uid="{EAED3C25-D754-4205-9D1D-326D9EFE11C7}"/>
    <cellStyle name="Millares 14 3 4" xfId="1393" xr:uid="{6EA97D45-771D-495C-B976-F35501A03488}"/>
    <cellStyle name="Millares 14 3 5" xfId="2975" xr:uid="{EC33D01A-BA40-4F73-BE3C-186B67E337DB}"/>
    <cellStyle name="Millares 14 4" xfId="663" xr:uid="{C0E233F0-AC57-43C7-82BA-B07431CD376D}"/>
    <cellStyle name="Millares 14 4 2" xfId="1063" xr:uid="{7903FBE9-328E-4861-A040-5E955444F700}"/>
    <cellStyle name="Millares 14 4 2 2" xfId="2646" xr:uid="{A27FDE7E-2738-4C48-A5BE-66BFE56FBF09}"/>
    <cellStyle name="Millares 14 4 2 2 2" xfId="4228" xr:uid="{DFA611E1-1FB2-4680-B550-6142DEC1B941}"/>
    <cellStyle name="Millares 14 4 2 3" xfId="1855" xr:uid="{165E64A5-B4C7-4393-8A29-70AD9252E5A5}"/>
    <cellStyle name="Millares 14 4 2 4" xfId="3437" xr:uid="{0EBD3A6A-52D2-4597-8FA8-1978A40BEBE3}"/>
    <cellStyle name="Millares 14 4 3" xfId="2252" xr:uid="{1BD96BFB-5A2E-4005-80C6-3C3ADDAA408E}"/>
    <cellStyle name="Millares 14 4 3 2" xfId="3834" xr:uid="{C3F54108-EDC7-400E-A5E8-31C140A6CD16}"/>
    <cellStyle name="Millares 14 4 4" xfId="1461" xr:uid="{5147B62D-FDB0-4F74-9A87-B25EA8368269}"/>
    <cellStyle name="Millares 14 4 5" xfId="3043" xr:uid="{9DB1637A-CB95-4B30-88D3-968C297ABFE0}"/>
    <cellStyle name="Millares 14 5" xfId="842" xr:uid="{2C85E90E-9B23-4D0A-9658-7700D09E759B}"/>
    <cellStyle name="Millares 14 5 2" xfId="2425" xr:uid="{E5392835-674B-49C9-9A58-15128E8950F2}"/>
    <cellStyle name="Millares 14 5 2 2" xfId="4007" xr:uid="{9DCD6819-05A5-4930-903C-0FE640A4A863}"/>
    <cellStyle name="Millares 14 5 3" xfId="1634" xr:uid="{517FAE64-C80F-48E2-9118-C0C124E51014}"/>
    <cellStyle name="Millares 14 5 4" xfId="3216" xr:uid="{31D3F23E-44CB-4249-86F3-632998738104}"/>
    <cellStyle name="Millares 14 6" xfId="2031" xr:uid="{AEDD8418-BE68-4952-AD8C-4F4A2B72BB65}"/>
    <cellStyle name="Millares 14 6 2" xfId="3613" xr:uid="{CBABA2BA-12E2-4414-A24B-E968E787CBD9}"/>
    <cellStyle name="Millares 14 7" xfId="1240" xr:uid="{FE2E2DF1-02EE-4EAD-AC4A-533193B86A54}"/>
    <cellStyle name="Millares 14 8" xfId="2822" xr:uid="{2C0F002A-E97E-490D-8E22-E54DD608B841}"/>
    <cellStyle name="Millares 15" xfId="474" xr:uid="{32D92792-16DA-42AD-9527-117565320BA6}"/>
    <cellStyle name="Millares 15 2" xfId="550" xr:uid="{14B7513B-4FD2-44FE-B395-D5E3DB816AC4}"/>
    <cellStyle name="Millares 15 2 2" xfId="778" xr:uid="{27267C34-362B-44B2-A852-5A247B85CA0D}"/>
    <cellStyle name="Millares 15 2 2 2" xfId="1178" xr:uid="{526CB701-CCD9-463D-95CE-6B7FFF69A546}"/>
    <cellStyle name="Millares 15 2 2 2 2" xfId="2761" xr:uid="{1A8D494A-DA3B-42F3-8FAF-1B1726634635}"/>
    <cellStyle name="Millares 15 2 2 2 2 2" xfId="4343" xr:uid="{AAB3885B-F660-46B3-B682-93B12248B825}"/>
    <cellStyle name="Millares 15 2 2 2 3" xfId="1970" xr:uid="{2F1E85AA-E076-4AC5-84DF-28D9CD944A7C}"/>
    <cellStyle name="Millares 15 2 2 2 4" xfId="3552" xr:uid="{C28D1905-7D87-49FC-8CA4-8DE907741137}"/>
    <cellStyle name="Millares 15 2 2 3" xfId="2367" xr:uid="{924D5D57-5710-452D-AE5B-E48349399C4F}"/>
    <cellStyle name="Millares 15 2 2 3 2" xfId="3949" xr:uid="{B2296AE6-8E15-4D90-A14D-F566FAE5C0D8}"/>
    <cellStyle name="Millares 15 2 2 4" xfId="1576" xr:uid="{FB028451-D6E9-4424-A26D-CC6FB0505702}"/>
    <cellStyle name="Millares 15 2 2 5" xfId="3158" xr:uid="{ADC593F0-CA17-4F5E-A1FC-6C0F3F71EFB9}"/>
    <cellStyle name="Millares 15 2 3" xfId="957" xr:uid="{3DD954BF-9E60-4F71-BAB5-6F07C7FB3D81}"/>
    <cellStyle name="Millares 15 2 3 2" xfId="2540" xr:uid="{FA7F352B-65AB-4C5D-8B79-B6E692A32229}"/>
    <cellStyle name="Millares 15 2 3 2 2" xfId="4122" xr:uid="{0FC91A4D-10FC-4373-8B40-C0367540C725}"/>
    <cellStyle name="Millares 15 2 3 3" xfId="1749" xr:uid="{D8BF2443-F3CF-4174-9985-9142412D74D7}"/>
    <cellStyle name="Millares 15 2 3 4" xfId="3331" xr:uid="{CF347FDA-0804-43F7-9A01-E0C3F3826F0E}"/>
    <cellStyle name="Millares 15 2 4" xfId="2146" xr:uid="{E12D07DF-60E4-4112-BA4D-3F4D6CBAB4EC}"/>
    <cellStyle name="Millares 15 2 4 2" xfId="3728" xr:uid="{93749D8A-242E-48D2-A70A-AE414EF68DAD}"/>
    <cellStyle name="Millares 15 2 5" xfId="1355" xr:uid="{0E9AE5BA-567C-445D-8BBE-A00B6708A7F7}"/>
    <cellStyle name="Millares 15 2 6" xfId="2937" xr:uid="{DB47BD40-DB8A-4A44-BB24-E5B563C368CB}"/>
    <cellStyle name="Millares 15 3" xfId="627" xr:uid="{BCF03245-30D2-4BDD-B6B0-3F1DAF67BC64}"/>
    <cellStyle name="Millares 15 3 2" xfId="1034" xr:uid="{49D8A225-FCBE-4074-9332-7954190ADAF4}"/>
    <cellStyle name="Millares 15 3 2 2" xfId="2617" xr:uid="{BAED0C88-543E-48B2-85D8-84A8EB00A87A}"/>
    <cellStyle name="Millares 15 3 2 2 2" xfId="4199" xr:uid="{F0FE3980-306C-4196-9C8C-F60158480101}"/>
    <cellStyle name="Millares 15 3 2 3" xfId="1826" xr:uid="{34EAC1FA-08E8-4EC9-AD26-C026B5BC7A32}"/>
    <cellStyle name="Millares 15 3 2 4" xfId="3408" xr:uid="{322855BC-EE26-47BC-9BCA-F16F0FB16247}"/>
    <cellStyle name="Millares 15 3 3" xfId="2223" xr:uid="{4D566D2E-0B6E-400D-B587-E5E1259708F8}"/>
    <cellStyle name="Millares 15 3 3 2" xfId="3805" xr:uid="{1E1CB38D-CA6F-4D99-A7D4-E51512343ACC}"/>
    <cellStyle name="Millares 15 3 4" xfId="1432" xr:uid="{414965AC-D44A-4148-B623-BB9B3E4F0520}"/>
    <cellStyle name="Millares 15 3 5" xfId="3014" xr:uid="{DEDF8AB6-06D8-43E0-AEC8-0E55930BC30A}"/>
    <cellStyle name="Millares 15 4" xfId="702" xr:uid="{AC7F0FDF-7305-4A6A-83DA-6421B262250D}"/>
    <cellStyle name="Millares 15 4 2" xfId="1102" xr:uid="{4AD82582-86B8-4A86-8379-217BBF1CAF1F}"/>
    <cellStyle name="Millares 15 4 2 2" xfId="2685" xr:uid="{B0838703-9892-4933-AB35-475329F07028}"/>
    <cellStyle name="Millares 15 4 2 2 2" xfId="4267" xr:uid="{78B18055-5007-4D78-B53A-9E13CE64D7C9}"/>
    <cellStyle name="Millares 15 4 2 3" xfId="1894" xr:uid="{D2DCF464-626D-42E2-8BB6-90176074F812}"/>
    <cellStyle name="Millares 15 4 2 4" xfId="3476" xr:uid="{C2F20C42-09F9-45B0-9889-835C442EA6E4}"/>
    <cellStyle name="Millares 15 4 3" xfId="2291" xr:uid="{F4241A6F-13DA-4792-9F73-59315BDC8A8A}"/>
    <cellStyle name="Millares 15 4 3 2" xfId="3873" xr:uid="{E9A24C03-AE6F-415E-BA98-F5F3EFFC19BB}"/>
    <cellStyle name="Millares 15 4 4" xfId="1500" xr:uid="{15BFD809-E193-410A-8482-C87EAAC40F17}"/>
    <cellStyle name="Millares 15 4 5" xfId="3082" xr:uid="{1ACAAD6C-AED9-4E79-AA48-5D61ED34E408}"/>
    <cellStyle name="Millares 15 5" xfId="881" xr:uid="{7331B30A-A720-4CC6-9F94-6F36CFF70A09}"/>
    <cellStyle name="Millares 15 5 2" xfId="2464" xr:uid="{72C4EB2C-70ED-43A4-A49A-823869A539EF}"/>
    <cellStyle name="Millares 15 5 2 2" xfId="4046" xr:uid="{A73F156F-A1DC-4C30-865A-311CDD84514F}"/>
    <cellStyle name="Millares 15 5 3" xfId="1673" xr:uid="{09657EC9-32A6-45F8-B6A3-89A8CE9FD935}"/>
    <cellStyle name="Millares 15 5 4" xfId="3255" xr:uid="{758C4220-164F-400B-832A-A27B29672B32}"/>
    <cellStyle name="Millares 15 6" xfId="2070" xr:uid="{524F151A-83B5-4B11-9CB9-A59ABDFF1970}"/>
    <cellStyle name="Millares 15 6 2" xfId="3652" xr:uid="{A91DDA6C-6C20-42F5-96A0-27AAB18A5E68}"/>
    <cellStyle name="Millares 15 7" xfId="1279" xr:uid="{1675E581-D5E8-4950-9BFB-9BC078BEDD12}"/>
    <cellStyle name="Millares 15 8" xfId="2861" xr:uid="{203EA766-51B8-4CE5-A5C6-205F4A7E91A1}"/>
    <cellStyle name="Millares 16" xfId="408" xr:uid="{8AEC2D43-88AE-4F0E-A949-6759C1C0A619}"/>
    <cellStyle name="Millares 16 2" xfId="526" xr:uid="{4366AB93-65E9-41F9-B0E1-2730A6BBBFD2}"/>
    <cellStyle name="Millares 16 2 2" xfId="754" xr:uid="{3490E235-8905-4C43-847F-2F07AEE2B592}"/>
    <cellStyle name="Millares 16 2 2 2" xfId="1154" xr:uid="{5EBEC58E-0A70-4412-B3EF-59FDA2E1E289}"/>
    <cellStyle name="Millares 16 2 2 2 2" xfId="2737" xr:uid="{5F1B2214-7D1D-415B-825D-0688B7EF239D}"/>
    <cellStyle name="Millares 16 2 2 2 2 2" xfId="4319" xr:uid="{113B8C24-9A30-4EA3-BB94-039638CBE4DE}"/>
    <cellStyle name="Millares 16 2 2 2 3" xfId="1946" xr:uid="{F13736A2-D95B-4A7E-BCD7-02124A62ABC4}"/>
    <cellStyle name="Millares 16 2 2 2 4" xfId="3528" xr:uid="{117E7C12-06C8-4313-BF14-047A404CF3B7}"/>
    <cellStyle name="Millares 16 2 2 3" xfId="2343" xr:uid="{02ECAFDC-2512-4511-B8AB-7BCC643BA511}"/>
    <cellStyle name="Millares 16 2 2 3 2" xfId="3925" xr:uid="{8A823113-EF70-47B7-8978-D26D62F8681E}"/>
    <cellStyle name="Millares 16 2 2 4" xfId="1552" xr:uid="{983E631D-B9F7-405C-B500-F5948E83DDCA}"/>
    <cellStyle name="Millares 16 2 2 5" xfId="3134" xr:uid="{10E68097-2FA1-427A-8E19-9C70C92A5ABA}"/>
    <cellStyle name="Millares 16 2 3" xfId="933" xr:uid="{363C9B3E-B2F0-4D44-8D22-B322882E7C7E}"/>
    <cellStyle name="Millares 16 2 3 2" xfId="2516" xr:uid="{62759017-4157-46F3-BEC5-EDFC88C27CD1}"/>
    <cellStyle name="Millares 16 2 3 2 2" xfId="4098" xr:uid="{7792BDFB-CFC2-4F15-87E7-9399117B7D4A}"/>
    <cellStyle name="Millares 16 2 3 3" xfId="1725" xr:uid="{6779A228-3210-4BC2-9797-F98C064AF357}"/>
    <cellStyle name="Millares 16 2 3 4" xfId="3307" xr:uid="{8770F23F-6E90-4C07-AEB7-A64D182087C7}"/>
    <cellStyle name="Millares 16 2 4" xfId="2122" xr:uid="{A0347AB9-10AF-454A-8811-895073C88941}"/>
    <cellStyle name="Millares 16 2 4 2" xfId="3704" xr:uid="{7BA8670E-7AA4-4219-9B29-B1CA592736C7}"/>
    <cellStyle name="Millares 16 2 5" xfId="1331" xr:uid="{418C8A3E-6844-4282-80A3-95B655D5BC00}"/>
    <cellStyle name="Millares 16 2 6" xfId="2913" xr:uid="{B4AF870C-E356-4764-A192-FCC7C563276A}"/>
    <cellStyle name="Millares 16 3" xfId="603" xr:uid="{EB4CB252-9633-425C-A9D1-EE6280EC569F}"/>
    <cellStyle name="Millares 16 3 2" xfId="1010" xr:uid="{0A070475-79E0-495F-B562-B725622B8FE7}"/>
    <cellStyle name="Millares 16 3 2 2" xfId="2593" xr:uid="{5B3FF0D9-3510-4AF3-9B4B-542A264F3014}"/>
    <cellStyle name="Millares 16 3 2 2 2" xfId="4175" xr:uid="{E194FAAF-7D52-4FCF-9772-DDAC189CBE68}"/>
    <cellStyle name="Millares 16 3 2 3" xfId="1802" xr:uid="{6A1185D6-1B4B-4B2F-9B9B-A3537A656241}"/>
    <cellStyle name="Millares 16 3 2 4" xfId="3384" xr:uid="{7AAFADAD-6D2F-4648-83B4-440176F1F449}"/>
    <cellStyle name="Millares 16 3 3" xfId="2199" xr:uid="{2452C77C-7294-41A4-9A6B-3AC4884DD37B}"/>
    <cellStyle name="Millares 16 3 3 2" xfId="3781" xr:uid="{6B7A0520-8449-461C-AB74-5CE8D556EDCB}"/>
    <cellStyle name="Millares 16 3 4" xfId="1408" xr:uid="{E234C90E-B1E2-426D-88F1-A4B56C00ED65}"/>
    <cellStyle name="Millares 16 3 5" xfId="2990" xr:uid="{49075E86-9A37-4C5F-9C6A-C641AD5F18EB}"/>
    <cellStyle name="Millares 16 4" xfId="678" xr:uid="{8DDAEEB7-29DC-4731-9B0F-FF72D8F3E1A6}"/>
    <cellStyle name="Millares 16 4 2" xfId="1078" xr:uid="{8B9AA4D6-2527-448C-9723-D25A121C3687}"/>
    <cellStyle name="Millares 16 4 2 2" xfId="2661" xr:uid="{CCEF1986-AB68-46F2-A7D0-B3427F6E1ECA}"/>
    <cellStyle name="Millares 16 4 2 2 2" xfId="4243" xr:uid="{CB3E6EC1-3526-4D0B-9229-DD22DD26B16F}"/>
    <cellStyle name="Millares 16 4 2 3" xfId="1870" xr:uid="{D5D96449-B0F4-421C-B718-5FA03FFFAD7F}"/>
    <cellStyle name="Millares 16 4 2 4" xfId="3452" xr:uid="{76ECCD7C-88D8-47F9-A0B0-CA1D5871B223}"/>
    <cellStyle name="Millares 16 4 3" xfId="2267" xr:uid="{EE702537-0297-4CE1-A610-2BE6A6AB45EB}"/>
    <cellStyle name="Millares 16 4 3 2" xfId="3849" xr:uid="{7CF16911-80F2-486C-9538-B18F3DD345AA}"/>
    <cellStyle name="Millares 16 4 4" xfId="1476" xr:uid="{6B77EEAF-BA9C-43CC-A9CC-CABCED47C668}"/>
    <cellStyle name="Millares 16 4 5" xfId="3058" xr:uid="{B1099BB3-916B-4BD2-B189-39F91FAFC47A}"/>
    <cellStyle name="Millares 16 5" xfId="857" xr:uid="{A18C1449-EA48-4585-9FE9-E7675FB24430}"/>
    <cellStyle name="Millares 16 5 2" xfId="2440" xr:uid="{B5B47B62-39F0-4DDB-BB8D-8CFB36734753}"/>
    <cellStyle name="Millares 16 5 2 2" xfId="4022" xr:uid="{7244274A-5CF6-4395-91F5-951EB733D468}"/>
    <cellStyle name="Millares 16 5 3" xfId="1649" xr:uid="{7F45ED4A-F2D9-4E03-99AD-3E98BFAB0B5B}"/>
    <cellStyle name="Millares 16 5 4" xfId="3231" xr:uid="{4BC11516-2831-4BE0-95CB-35363B4480FA}"/>
    <cellStyle name="Millares 16 6" xfId="2046" xr:uid="{CC61CBB4-758E-4885-A092-50288169F87B}"/>
    <cellStyle name="Millares 16 6 2" xfId="3628" xr:uid="{67FAC290-6E22-44AB-B006-427FF36062C2}"/>
    <cellStyle name="Millares 16 7" xfId="1255" xr:uid="{FD22CDB6-EB5A-4B24-B1AA-FDD6EDDEB15B}"/>
    <cellStyle name="Millares 16 8" xfId="2837" xr:uid="{48CA8884-1D0A-4EB6-BBC2-3C5DF3B45094}"/>
    <cellStyle name="Millares 17" xfId="392" xr:uid="{129E78F2-BE50-426B-ACEE-5C599A33162C}"/>
    <cellStyle name="Millares 17 2" xfId="513" xr:uid="{DE8BFE9E-E567-4284-8E22-DCBEED128D43}"/>
    <cellStyle name="Millares 17 2 2" xfId="741" xr:uid="{206E5595-1744-4EF1-A5D4-46339A422253}"/>
    <cellStyle name="Millares 17 2 2 2" xfId="1141" xr:uid="{C51620DC-C8F0-4359-BBA1-F23C53E05973}"/>
    <cellStyle name="Millares 17 2 2 2 2" xfId="2724" xr:uid="{3F60A51D-A6CB-422C-9935-6AC47C2257DE}"/>
    <cellStyle name="Millares 17 2 2 2 2 2" xfId="4306" xr:uid="{ACD53B2A-0D59-4148-8F56-AD0FEF4FA8CB}"/>
    <cellStyle name="Millares 17 2 2 2 3" xfId="1933" xr:uid="{821FFD5F-2511-4572-87FE-2638A15D5708}"/>
    <cellStyle name="Millares 17 2 2 2 4" xfId="3515" xr:uid="{3323FC98-D82A-4F1C-956A-55633EEA2F9E}"/>
    <cellStyle name="Millares 17 2 2 3" xfId="2330" xr:uid="{7EA20492-7665-4199-BFCC-2E1F98B95959}"/>
    <cellStyle name="Millares 17 2 2 3 2" xfId="3912" xr:uid="{F325D06F-7DB2-4B70-9736-7F58F5CAD2DE}"/>
    <cellStyle name="Millares 17 2 2 4" xfId="1539" xr:uid="{AD43720D-D194-4F32-9E75-C4645B24F59D}"/>
    <cellStyle name="Millares 17 2 2 5" xfId="3121" xr:uid="{DFB12DD1-3A11-499B-86E2-859C7F63E25A}"/>
    <cellStyle name="Millares 17 2 3" xfId="920" xr:uid="{7CA0BD8B-1073-40BD-8EBC-F386603CD817}"/>
    <cellStyle name="Millares 17 2 3 2" xfId="2503" xr:uid="{26B0DDD9-0BE4-4728-95DB-A3030FAC4535}"/>
    <cellStyle name="Millares 17 2 3 2 2" xfId="4085" xr:uid="{C9DE3249-1A71-4274-AC73-B1A736E2D970}"/>
    <cellStyle name="Millares 17 2 3 3" xfId="1712" xr:uid="{208B48D3-3942-4801-B90A-34CB3975233F}"/>
    <cellStyle name="Millares 17 2 3 4" xfId="3294" xr:uid="{80DE9C48-641F-4DFA-B672-18D816EA5E1F}"/>
    <cellStyle name="Millares 17 2 4" xfId="2109" xr:uid="{7F346B33-AF53-406D-A35D-99EAB2A09DAA}"/>
    <cellStyle name="Millares 17 2 4 2" xfId="3691" xr:uid="{4A44B5BD-1BF6-43E5-80C1-4B84BB19A0A9}"/>
    <cellStyle name="Millares 17 2 5" xfId="1318" xr:uid="{47930E78-D4C4-4C97-A1C1-38CEE2E436A1}"/>
    <cellStyle name="Millares 17 2 6" xfId="2900" xr:uid="{ED3661AB-087A-4027-A20D-7C9510C378A1}"/>
    <cellStyle name="Millares 17 3" xfId="590" xr:uid="{CEA3E06B-F42E-490B-A7BD-520050A70BBF}"/>
    <cellStyle name="Millares 17 3 2" xfId="997" xr:uid="{212224D4-97F2-4E4B-BA0B-E710E5A18442}"/>
    <cellStyle name="Millares 17 3 2 2" xfId="2580" xr:uid="{07CDC3AE-1195-4BBD-92DE-7E1658958A43}"/>
    <cellStyle name="Millares 17 3 2 2 2" xfId="4162" xr:uid="{1143946C-646A-49F7-8608-3455CE26A794}"/>
    <cellStyle name="Millares 17 3 2 3" xfId="1789" xr:uid="{334387CC-0224-4466-8123-E4A2D3A22925}"/>
    <cellStyle name="Millares 17 3 2 4" xfId="3371" xr:uid="{612F6AF0-1B6A-4653-A727-FD03E1C49A7A}"/>
    <cellStyle name="Millares 17 3 3" xfId="2186" xr:uid="{52E3603F-3D1D-4100-8659-6712886116B6}"/>
    <cellStyle name="Millares 17 3 3 2" xfId="3768" xr:uid="{5CEDD8BD-FCC9-4086-85FE-BB3B8CF86450}"/>
    <cellStyle name="Millares 17 3 4" xfId="1395" xr:uid="{090C2045-27B3-4A83-B705-7F169C44C939}"/>
    <cellStyle name="Millares 17 3 5" xfId="2977" xr:uid="{FEEF1B41-EF09-48A9-87BC-B7F8F463DEE0}"/>
    <cellStyle name="Millares 17 4" xfId="665" xr:uid="{BCC706B1-46B9-440E-AE83-73B49A6A9887}"/>
    <cellStyle name="Millares 17 4 2" xfId="1065" xr:uid="{2DD8E3E7-AC3D-4028-8DDB-22D0A56753E1}"/>
    <cellStyle name="Millares 17 4 2 2" xfId="2648" xr:uid="{EE2392F2-5861-4CA9-B41E-BE77D1D50B57}"/>
    <cellStyle name="Millares 17 4 2 2 2" xfId="4230" xr:uid="{273ED6C7-52AC-40C0-BA11-BCE05AEECF1F}"/>
    <cellStyle name="Millares 17 4 2 3" xfId="1857" xr:uid="{07F792E8-25C4-4E57-8D62-409B60A21C8A}"/>
    <cellStyle name="Millares 17 4 2 4" xfId="3439" xr:uid="{BA10BBB0-5229-418A-B5DA-818AF43A8C8B}"/>
    <cellStyle name="Millares 17 4 3" xfId="2254" xr:uid="{CD3FDB26-7DFE-4108-9848-16B491908540}"/>
    <cellStyle name="Millares 17 4 3 2" xfId="3836" xr:uid="{4023B0F4-451B-4DFC-967F-454DC64B9DD4}"/>
    <cellStyle name="Millares 17 4 4" xfId="1463" xr:uid="{3FD3F745-C027-4100-9741-EA54633E0D63}"/>
    <cellStyle name="Millares 17 4 5" xfId="3045" xr:uid="{7BD462C6-15CD-4188-9819-092D57062700}"/>
    <cellStyle name="Millares 17 5" xfId="844" xr:uid="{89FD981E-0D34-4FC6-82CA-0229C7C0BA0D}"/>
    <cellStyle name="Millares 17 5 2" xfId="2427" xr:uid="{ADFF343F-D529-4A01-8FA3-F76C86B5954D}"/>
    <cellStyle name="Millares 17 5 2 2" xfId="4009" xr:uid="{85818194-4862-4DDE-AFFD-A9D32DFB5681}"/>
    <cellStyle name="Millares 17 5 3" xfId="1636" xr:uid="{DC924F7C-71D5-41A9-A557-AA7CABAC8AD5}"/>
    <cellStyle name="Millares 17 5 4" xfId="3218" xr:uid="{E59254AF-6195-4623-B9E1-AB1285B44D29}"/>
    <cellStyle name="Millares 17 6" xfId="2033" xr:uid="{C26D486D-3346-4A2B-B7C8-80B267DA6D8C}"/>
    <cellStyle name="Millares 17 6 2" xfId="3615" xr:uid="{585FD6A1-E18E-48A2-B097-DB7093D279EC}"/>
    <cellStyle name="Millares 17 7" xfId="1242" xr:uid="{E70D9BDE-2F6F-4BFC-8C00-088DA885A345}"/>
    <cellStyle name="Millares 17 8" xfId="2824" xr:uid="{69019C36-6CE1-48C6-A8C4-4CC5B5010B10}"/>
    <cellStyle name="Millares 18" xfId="471" xr:uid="{5AA638DF-BE47-4325-8080-89C4F9464DC3}"/>
    <cellStyle name="Millares 18 2" xfId="547" xr:uid="{A197897D-C4E1-4CE2-855A-EEBCFCA2D7A7}"/>
    <cellStyle name="Millares 18 2 2" xfId="775" xr:uid="{93564F8B-CACE-4ACD-B557-141F6253C150}"/>
    <cellStyle name="Millares 18 2 2 2" xfId="1175" xr:uid="{EDC83215-2C77-44E5-891F-6EC59A1F8C7F}"/>
    <cellStyle name="Millares 18 2 2 2 2" xfId="2758" xr:uid="{F80E44B8-C99C-4F48-AFCC-2EE3AA84B226}"/>
    <cellStyle name="Millares 18 2 2 2 2 2" xfId="4340" xr:uid="{46A9598B-2B36-4931-B7AF-F94D8643A886}"/>
    <cellStyle name="Millares 18 2 2 2 3" xfId="1967" xr:uid="{C1B496C9-D7B1-422C-8FA4-87C906D6E535}"/>
    <cellStyle name="Millares 18 2 2 2 4" xfId="3549" xr:uid="{8B2C3D03-49B0-4F02-BDA2-043643C8EA19}"/>
    <cellStyle name="Millares 18 2 2 3" xfId="2364" xr:uid="{E2F8CD7D-5578-41AF-A955-B590909C2B15}"/>
    <cellStyle name="Millares 18 2 2 3 2" xfId="3946" xr:uid="{5150B431-97B2-4C1F-8EB6-44CF640F1D66}"/>
    <cellStyle name="Millares 18 2 2 4" xfId="1573" xr:uid="{ED1F96BB-C8DC-4350-8542-EFC096153934}"/>
    <cellStyle name="Millares 18 2 2 5" xfId="3155" xr:uid="{96236137-9A23-428E-A427-E8280BE66B90}"/>
    <cellStyle name="Millares 18 2 3" xfId="954" xr:uid="{6BBD8493-444A-43F5-9472-1DB4F1B727DE}"/>
    <cellStyle name="Millares 18 2 3 2" xfId="2537" xr:uid="{A0195FEC-EE49-4589-B401-BACCE9D25EED}"/>
    <cellStyle name="Millares 18 2 3 2 2" xfId="4119" xr:uid="{8E55C9B7-7203-4FD7-979E-EB9DE97650C5}"/>
    <cellStyle name="Millares 18 2 3 3" xfId="1746" xr:uid="{B51C656A-8111-4BFD-B9BB-4F2E74CCCC0A}"/>
    <cellStyle name="Millares 18 2 3 4" xfId="3328" xr:uid="{36833F96-8B4E-405E-82DA-483E9283D378}"/>
    <cellStyle name="Millares 18 2 4" xfId="2143" xr:uid="{51FD0ADA-E8F6-450B-A4D7-CA3E838E48C7}"/>
    <cellStyle name="Millares 18 2 4 2" xfId="3725" xr:uid="{048575C1-4D4F-41D2-A716-E3320B3C4EC7}"/>
    <cellStyle name="Millares 18 2 5" xfId="1352" xr:uid="{8BF89455-975F-4E20-A933-D2C36E5CFE29}"/>
    <cellStyle name="Millares 18 2 6" xfId="2934" xr:uid="{D820D4D2-12A0-40D0-AAFB-56C1EDA92426}"/>
    <cellStyle name="Millares 18 3" xfId="624" xr:uid="{760F9FD6-C030-4D21-AFA5-ED562E9E5B6A}"/>
    <cellStyle name="Millares 18 3 2" xfId="1031" xr:uid="{DE6AEC8B-ABED-4F25-BDC9-CC5DE0A14707}"/>
    <cellStyle name="Millares 18 3 2 2" xfId="2614" xr:uid="{A6573E68-D475-483A-A082-C67254B00E42}"/>
    <cellStyle name="Millares 18 3 2 2 2" xfId="4196" xr:uid="{9D6C76ED-6214-4D37-B933-67000A60B4C6}"/>
    <cellStyle name="Millares 18 3 2 3" xfId="1823" xr:uid="{55D65AB9-4C5F-4A08-B755-5BCBADE2B3CB}"/>
    <cellStyle name="Millares 18 3 2 4" xfId="3405" xr:uid="{8376CC93-C4D5-4072-BB86-17C3CA939EAD}"/>
    <cellStyle name="Millares 18 3 3" xfId="2220" xr:uid="{B9DA5AD0-580B-4B32-B19B-DD536D6E5ED3}"/>
    <cellStyle name="Millares 18 3 3 2" xfId="3802" xr:uid="{494A5581-7C2D-45E0-8111-4071E3DCC269}"/>
    <cellStyle name="Millares 18 3 4" xfId="1429" xr:uid="{49F28467-DADA-48C1-8F51-1E4361013283}"/>
    <cellStyle name="Millares 18 3 5" xfId="3011" xr:uid="{93D25488-8B90-4C7F-B5E7-D2FA8931BEE8}"/>
    <cellStyle name="Millares 18 4" xfId="699" xr:uid="{EAA89AC6-09D0-4424-A900-BC07DD7AD7FE}"/>
    <cellStyle name="Millares 18 4 2" xfId="1099" xr:uid="{0A1F2860-A7B5-4B22-8F99-F93C4EBA08B9}"/>
    <cellStyle name="Millares 18 4 2 2" xfId="2682" xr:uid="{251BC732-7847-443B-95D9-C2430588C716}"/>
    <cellStyle name="Millares 18 4 2 2 2" xfId="4264" xr:uid="{D5CD2FDE-8D2D-49C6-B044-42991C6E24C7}"/>
    <cellStyle name="Millares 18 4 2 3" xfId="1891" xr:uid="{586CC763-2F2C-46B2-B7B6-47C371A6C866}"/>
    <cellStyle name="Millares 18 4 2 4" xfId="3473" xr:uid="{FFC4126E-9F4D-402E-9867-05AE956F0B65}"/>
    <cellStyle name="Millares 18 4 3" xfId="2288" xr:uid="{F9EA0A95-18E2-4E86-81AC-3087D7197050}"/>
    <cellStyle name="Millares 18 4 3 2" xfId="3870" xr:uid="{B5B59143-33EA-40B7-9DFE-E468397E7D64}"/>
    <cellStyle name="Millares 18 4 4" xfId="1497" xr:uid="{822E22F5-9031-491A-9260-32F458813E7F}"/>
    <cellStyle name="Millares 18 4 5" xfId="3079" xr:uid="{68A8013D-9279-4FD7-B032-415D77D72156}"/>
    <cellStyle name="Millares 18 5" xfId="878" xr:uid="{2BB7F327-6424-4455-B6DE-B4F9254CE076}"/>
    <cellStyle name="Millares 18 5 2" xfId="2461" xr:uid="{30E19069-4E4E-4FA4-AFB4-8712FAFB986E}"/>
    <cellStyle name="Millares 18 5 2 2" xfId="4043" xr:uid="{30003B89-1430-4058-BE19-52BB7AE11745}"/>
    <cellStyle name="Millares 18 5 3" xfId="1670" xr:uid="{321EAF7C-2588-4577-B2FB-B862597738B2}"/>
    <cellStyle name="Millares 18 5 4" xfId="3252" xr:uid="{75255A96-4B37-4592-A937-8121BE6C6762}"/>
    <cellStyle name="Millares 18 6" xfId="2067" xr:uid="{3F52FF80-EC69-4D46-AEFD-AF9F92455ECF}"/>
    <cellStyle name="Millares 18 6 2" xfId="3649" xr:uid="{1F210EEE-B338-48F6-A6FF-C5A5E2A01368}"/>
    <cellStyle name="Millares 18 7" xfId="1276" xr:uid="{AED813D6-5AC4-4A40-BDAE-4F3CD88352A5}"/>
    <cellStyle name="Millares 18 8" xfId="2858" xr:uid="{6D072B19-22D6-4720-ACB4-AD5593413B3D}"/>
    <cellStyle name="Millares 19" xfId="405" xr:uid="{375001F9-4FC8-4945-B642-B496CA1998FD}"/>
    <cellStyle name="Millares 19 2" xfId="523" xr:uid="{D2E69BD9-EFF4-4359-AF29-5AF8C61E5703}"/>
    <cellStyle name="Millares 19 2 2" xfId="751" xr:uid="{F6DBB709-1202-4A5C-A8DB-4819607ADD70}"/>
    <cellStyle name="Millares 19 2 2 2" xfId="1151" xr:uid="{10B9E286-4910-4E67-9788-5584F883DB64}"/>
    <cellStyle name="Millares 19 2 2 2 2" xfId="2734" xr:uid="{4341CCB9-7E32-4786-A9EA-B8FC946AC31F}"/>
    <cellStyle name="Millares 19 2 2 2 2 2" xfId="4316" xr:uid="{C09B3699-D8FF-44D1-B393-637650160691}"/>
    <cellStyle name="Millares 19 2 2 2 3" xfId="1943" xr:uid="{72357BEC-FDF6-4159-B3F9-5742758285F1}"/>
    <cellStyle name="Millares 19 2 2 2 4" xfId="3525" xr:uid="{4462DE7D-4531-44A4-8CAD-768717D59065}"/>
    <cellStyle name="Millares 19 2 2 3" xfId="2340" xr:uid="{BFD4EE6C-9115-4091-B26E-64E669E5B360}"/>
    <cellStyle name="Millares 19 2 2 3 2" xfId="3922" xr:uid="{95B5B004-D1D1-4EDA-9ECF-6709EE61F54F}"/>
    <cellStyle name="Millares 19 2 2 4" xfId="1549" xr:uid="{A562C666-0E8D-4A8F-BB69-B530AE08DF74}"/>
    <cellStyle name="Millares 19 2 2 5" xfId="3131" xr:uid="{F98178B5-3D76-4A10-AA99-F6BE755B2FD3}"/>
    <cellStyle name="Millares 19 2 3" xfId="930" xr:uid="{524C4FAD-0ADE-42BD-8CE3-5CBD865C54C4}"/>
    <cellStyle name="Millares 19 2 3 2" xfId="2513" xr:uid="{E6310D5F-010E-4E15-98F4-E54AB55A7C3E}"/>
    <cellStyle name="Millares 19 2 3 2 2" xfId="4095" xr:uid="{DB05DA97-1C5E-413D-81C3-64657450EBA7}"/>
    <cellStyle name="Millares 19 2 3 3" xfId="1722" xr:uid="{4C3CE090-EBFC-4094-93F0-857840FCA0F7}"/>
    <cellStyle name="Millares 19 2 3 4" xfId="3304" xr:uid="{B3C51C2B-5DCD-40F1-AF2B-DE5F31D257CE}"/>
    <cellStyle name="Millares 19 2 4" xfId="2119" xr:uid="{F7F89B49-FDCF-4429-825E-F0495146A31C}"/>
    <cellStyle name="Millares 19 2 4 2" xfId="3701" xr:uid="{0F9848B9-D204-4F5D-B8CE-6D899E98F2AD}"/>
    <cellStyle name="Millares 19 2 5" xfId="1328" xr:uid="{6340FCA7-9114-4F7B-AB89-2ADEE6717FBF}"/>
    <cellStyle name="Millares 19 2 6" xfId="2910" xr:uid="{74E16147-37ED-4772-A2F5-00C691E9658F}"/>
    <cellStyle name="Millares 19 3" xfId="600" xr:uid="{6270C7B9-C45C-40AB-A845-415D1FF2F130}"/>
    <cellStyle name="Millares 19 3 2" xfId="1007" xr:uid="{51E68284-F06E-410A-81AB-7BA938C2AA20}"/>
    <cellStyle name="Millares 19 3 2 2" xfId="2590" xr:uid="{74230237-ED11-4D5D-8A68-C3644CE0F203}"/>
    <cellStyle name="Millares 19 3 2 2 2" xfId="4172" xr:uid="{55128E01-89B8-48EB-A4F7-249EDBD11218}"/>
    <cellStyle name="Millares 19 3 2 3" xfId="1799" xr:uid="{ABBFEF51-64B4-4947-A279-9D35DFD383FA}"/>
    <cellStyle name="Millares 19 3 2 4" xfId="3381" xr:uid="{1AE2A5DE-520A-457C-A0B3-BEE892582B37}"/>
    <cellStyle name="Millares 19 3 3" xfId="2196" xr:uid="{90E3F064-8A8D-4582-9273-685465FF03A6}"/>
    <cellStyle name="Millares 19 3 3 2" xfId="3778" xr:uid="{3ABFB2BF-8C0C-48BD-B1B5-EFC6B05582BE}"/>
    <cellStyle name="Millares 19 3 4" xfId="1405" xr:uid="{5BD33971-0233-4C62-8F1E-3A01D95F020B}"/>
    <cellStyle name="Millares 19 3 5" xfId="2987" xr:uid="{73560C2B-6A06-4DE0-B05E-622962A9D6E7}"/>
    <cellStyle name="Millares 19 4" xfId="675" xr:uid="{30295821-A570-4CC5-983D-5BE21908228E}"/>
    <cellStyle name="Millares 19 4 2" xfId="1075" xr:uid="{6F90BC14-F73B-4BCC-A6A0-D75FDDB26007}"/>
    <cellStyle name="Millares 19 4 2 2" xfId="2658" xr:uid="{CC045049-4EE9-473F-8147-C066B181624B}"/>
    <cellStyle name="Millares 19 4 2 2 2" xfId="4240" xr:uid="{8D484975-3DA6-4C93-A0FF-F566EECFE33F}"/>
    <cellStyle name="Millares 19 4 2 3" xfId="1867" xr:uid="{9F2691B4-C7A1-47FA-B8E3-7919E3B5FF2B}"/>
    <cellStyle name="Millares 19 4 2 4" xfId="3449" xr:uid="{3C49AB8A-C4F1-41BE-B42F-A9B36F7D025F}"/>
    <cellStyle name="Millares 19 4 3" xfId="2264" xr:uid="{B9A08E78-6A72-4475-B24F-AB6BD028E1B1}"/>
    <cellStyle name="Millares 19 4 3 2" xfId="3846" xr:uid="{E4CC7324-3EC3-45BD-A9CC-C961663D9ECB}"/>
    <cellStyle name="Millares 19 4 4" xfId="1473" xr:uid="{BA7DB1B6-6670-49F5-B6A8-B8A0A82F8A56}"/>
    <cellStyle name="Millares 19 4 5" xfId="3055" xr:uid="{B0699C3C-7941-4C17-A1E0-EEF86A89324A}"/>
    <cellStyle name="Millares 19 5" xfId="854" xr:uid="{DC89295D-BD13-4AE1-8BAA-2B40DA4C5910}"/>
    <cellStyle name="Millares 19 5 2" xfId="2437" xr:uid="{4C53AFEA-CD35-4B97-AB99-FA028BDDF72B}"/>
    <cellStyle name="Millares 19 5 2 2" xfId="4019" xr:uid="{EC71DE18-1131-4059-9D5F-3B9BA42D64AC}"/>
    <cellStyle name="Millares 19 5 3" xfId="1646" xr:uid="{F56225A3-A2F1-4289-A513-6291C2690676}"/>
    <cellStyle name="Millares 19 5 4" xfId="3228" xr:uid="{79846A18-72CB-4335-B1C6-341815EBFCD7}"/>
    <cellStyle name="Millares 19 6" xfId="2043" xr:uid="{096CBB07-0C68-4215-841B-FBF09FE569ED}"/>
    <cellStyle name="Millares 19 6 2" xfId="3625" xr:uid="{8A7A56B3-1C3A-41F5-BF60-D564EABC627D}"/>
    <cellStyle name="Millares 19 7" xfId="1252" xr:uid="{F2CFEF0E-AAA5-4C02-86AE-1C60215483E3}"/>
    <cellStyle name="Millares 19 8" xfId="2834" xr:uid="{693F49C6-9905-4AF1-8296-545A61455BD2}"/>
    <cellStyle name="Millares 2" xfId="12" xr:uid="{1694D96B-60F6-409F-8F93-1F8A00E6B71B}"/>
    <cellStyle name="Millares 2 2" xfId="329" xr:uid="{B8B6B7DA-9B66-4CF1-9E84-4D3A1BD56B62}"/>
    <cellStyle name="Millares 2 2 2" xfId="22" xr:uid="{6A35A654-2388-42FD-AEF5-0E15CB84F013}"/>
    <cellStyle name="Millares 2 2 2 2" xfId="380" xr:uid="{A9296E8D-6C05-4595-9362-55BAF650C553}"/>
    <cellStyle name="Millares 2 2 2 2 2" xfId="466" xr:uid="{F1693AD1-4C5C-46E8-82A4-DB21202B9703}"/>
    <cellStyle name="Millares 2 2 2 3" xfId="451" xr:uid="{FA3569D5-5117-4888-A9B7-ADA349D7B1F9}"/>
    <cellStyle name="Millares 2 2 2 4" xfId="365" xr:uid="{3412C4EB-CCCC-4B2D-A0E5-EC94F2869A90}"/>
    <cellStyle name="Millares 2 2 3" xfId="372" xr:uid="{CE0BAE53-2D22-433F-86BA-C41A4A055628}"/>
    <cellStyle name="Millares 2 2 3 2" xfId="458" xr:uid="{2C469725-29F7-4BB8-904F-44BCF154EFB0}"/>
    <cellStyle name="Millares 2 2 4" xfId="443" xr:uid="{23FEF732-0685-4937-8D72-842CABEF91E4}"/>
    <cellStyle name="Millares 2 3" xfId="337" xr:uid="{FBAD07BD-F634-4F25-85CB-B18526487501}"/>
    <cellStyle name="Millares 2 3 10" xfId="820" xr:uid="{C1E6116A-ACFD-49AF-8B37-BEB6D1806CF1}"/>
    <cellStyle name="Millares 2 3 10 2" xfId="2403" xr:uid="{318FC38A-CB68-436D-A0C1-F908C0D5CA77}"/>
    <cellStyle name="Millares 2 3 10 2 2" xfId="3985" xr:uid="{B4FF515E-86BC-433A-9A45-24E80CE89690}"/>
    <cellStyle name="Millares 2 3 10 3" xfId="1612" xr:uid="{756B5277-4804-48D4-B99B-2DD716EDAF5F}"/>
    <cellStyle name="Millares 2 3 10 4" xfId="3194" xr:uid="{94C446B6-C3CA-474B-BBE7-07B8EB11AEB3}"/>
    <cellStyle name="Millares 2 3 11" xfId="2009" xr:uid="{2A8F17D2-DB68-4213-A246-3BC328578ED5}"/>
    <cellStyle name="Millares 2 3 11 2" xfId="3591" xr:uid="{E586F102-98B3-44C3-93CE-8F7472666F98}"/>
    <cellStyle name="Millares 2 3 12" xfId="1218" xr:uid="{47C8E8A5-64F1-44BE-8325-A3F379F9D5B0}"/>
    <cellStyle name="Millares 2 3 13" xfId="2800" xr:uid="{F4674502-6E40-4FA4-AF71-C3846CD0987F}"/>
    <cellStyle name="Millares 2 3 2" xfId="356" xr:uid="{8518304B-64B1-40F5-854E-2CE437AA8845}"/>
    <cellStyle name="Millares 2 3 2 10" xfId="2022" xr:uid="{3B7EA07A-4099-4006-A353-F7A46E408270}"/>
    <cellStyle name="Millares 2 3 2 10 2" xfId="3604" xr:uid="{422DF0A1-44C2-4F32-8234-E34C90021CA8}"/>
    <cellStyle name="Millares 2 3 2 11" xfId="1231" xr:uid="{70E3917B-42F0-40FB-8CCF-A17B42CF196E}"/>
    <cellStyle name="Millares 2 3 2 12" xfId="2813" xr:uid="{C34E7DCD-5AD9-463C-8552-A184C09BC950}"/>
    <cellStyle name="Millares 2 3 2 2" xfId="379" xr:uid="{3F2DFF1F-C774-4236-9BCC-0E9C2279533B}"/>
    <cellStyle name="Millares 2 3 2 3" xfId="465" xr:uid="{69CC1941-697D-45FC-B60F-0C2AE99A1410}"/>
    <cellStyle name="Millares 2 3 2 4" xfId="434" xr:uid="{1399CE9B-BB15-4A63-AB3F-1F72FE8F0624}"/>
    <cellStyle name="Millares 2 3 2 4 2" xfId="543" xr:uid="{C855D2D8-4F6A-4257-8A78-DD9476B1DB57}"/>
    <cellStyle name="Millares 2 3 2 4 2 2" xfId="771" xr:uid="{82CB52DA-C9F5-4034-9FE5-CD122E2A9B38}"/>
    <cellStyle name="Millares 2 3 2 4 2 2 2" xfId="1171" xr:uid="{E8320375-C6F9-494E-93B9-6533DE1A52F5}"/>
    <cellStyle name="Millares 2 3 2 4 2 2 2 2" xfId="2754" xr:uid="{3638BB6C-AE3A-4FD8-8967-1E90ED10FC36}"/>
    <cellStyle name="Millares 2 3 2 4 2 2 2 2 2" xfId="4336" xr:uid="{2FE28D85-D411-4EED-8A49-9611138AC947}"/>
    <cellStyle name="Millares 2 3 2 4 2 2 2 3" xfId="1963" xr:uid="{595829A4-4EB6-46F6-B845-54360E870B16}"/>
    <cellStyle name="Millares 2 3 2 4 2 2 2 4" xfId="3545" xr:uid="{4D74AF7C-3B02-4D1C-A700-D26C18DEB514}"/>
    <cellStyle name="Millares 2 3 2 4 2 2 3" xfId="2360" xr:uid="{93159E9C-5DAB-4C43-9E3C-7A6C85AB48EE}"/>
    <cellStyle name="Millares 2 3 2 4 2 2 3 2" xfId="3942" xr:uid="{7AA36C4E-8626-46CB-A38F-DD12B338E619}"/>
    <cellStyle name="Millares 2 3 2 4 2 2 4" xfId="1569" xr:uid="{619D5DCA-EE8F-4231-AEE8-78AD609A8E2F}"/>
    <cellStyle name="Millares 2 3 2 4 2 2 5" xfId="3151" xr:uid="{80083D7F-C458-4A00-85F0-1A5BEAAC5387}"/>
    <cellStyle name="Millares 2 3 2 4 2 3" xfId="950" xr:uid="{51511A12-DD80-4F8B-8866-78CE720CA4B3}"/>
    <cellStyle name="Millares 2 3 2 4 2 3 2" xfId="2533" xr:uid="{5F23B1F2-6BCD-4C33-B1DF-510ADD332829}"/>
    <cellStyle name="Millares 2 3 2 4 2 3 2 2" xfId="4115" xr:uid="{E3527333-6164-4E6F-ADB3-10961A0B50C1}"/>
    <cellStyle name="Millares 2 3 2 4 2 3 3" xfId="1742" xr:uid="{BF1AE2FA-07ED-435B-BFA5-FFFA87DD5A77}"/>
    <cellStyle name="Millares 2 3 2 4 2 3 4" xfId="3324" xr:uid="{1F966568-F069-4D44-A30B-E1817B850E93}"/>
    <cellStyle name="Millares 2 3 2 4 2 4" xfId="2139" xr:uid="{482C3771-1B8D-4759-8F7F-1071194DDCBB}"/>
    <cellStyle name="Millares 2 3 2 4 2 4 2" xfId="3721" xr:uid="{9A2D0085-158E-48EB-88E2-EAA94CE68960}"/>
    <cellStyle name="Millares 2 3 2 4 2 5" xfId="1348" xr:uid="{22E32868-929B-4448-A4B4-1D54D7834F90}"/>
    <cellStyle name="Millares 2 3 2 4 2 6" xfId="2930" xr:uid="{486BD4FE-7FF4-4BB7-B8A4-139A0962B4C4}"/>
    <cellStyle name="Millares 2 3 2 4 3" xfId="620" xr:uid="{E74DE725-55AC-4208-BDC9-8E76C6C9A4BA}"/>
    <cellStyle name="Millares 2 3 2 4 3 2" xfId="1027" xr:uid="{2F90616C-1E9C-4C61-B5F3-F8FECF0A44D9}"/>
    <cellStyle name="Millares 2 3 2 4 3 2 2" xfId="2610" xr:uid="{5A4EBA45-E068-4EC4-B89D-FB43B4C40F93}"/>
    <cellStyle name="Millares 2 3 2 4 3 2 2 2" xfId="4192" xr:uid="{BB7E1BD4-7FA6-4E89-93F3-E73C0D60AA1F}"/>
    <cellStyle name="Millares 2 3 2 4 3 2 3" xfId="1819" xr:uid="{1ABE5B7A-735F-47FA-98E3-B0D2C89BE316}"/>
    <cellStyle name="Millares 2 3 2 4 3 2 4" xfId="3401" xr:uid="{436E11AF-3DB0-439A-94EC-120AC4F696CA}"/>
    <cellStyle name="Millares 2 3 2 4 3 3" xfId="2216" xr:uid="{D75309EC-289D-412D-A17B-4A86FDDB282C}"/>
    <cellStyle name="Millares 2 3 2 4 3 3 2" xfId="3798" xr:uid="{91345DDB-BAC5-4070-9123-43E46DC989C4}"/>
    <cellStyle name="Millares 2 3 2 4 3 4" xfId="1425" xr:uid="{6FE5BE9B-88F5-46EF-97CD-7F704737426D}"/>
    <cellStyle name="Millares 2 3 2 4 3 5" xfId="3007" xr:uid="{8E559943-4BD7-40AE-8448-21F538BE913B}"/>
    <cellStyle name="Millares 2 3 2 4 4" xfId="695" xr:uid="{578E312D-4A6A-497D-9258-8FEB5811A0C7}"/>
    <cellStyle name="Millares 2 3 2 4 4 2" xfId="1095" xr:uid="{87A44032-B9A4-4AB5-9775-1228488D6993}"/>
    <cellStyle name="Millares 2 3 2 4 4 2 2" xfId="2678" xr:uid="{7AC8DEF6-B287-40E2-A3EE-719D3EE9C946}"/>
    <cellStyle name="Millares 2 3 2 4 4 2 2 2" xfId="4260" xr:uid="{BCF2A8CE-877A-4FCA-A458-F88B08378B4E}"/>
    <cellStyle name="Millares 2 3 2 4 4 2 3" xfId="1887" xr:uid="{CDE4FB1B-DC01-4A2C-9155-0E7F7DEF93EC}"/>
    <cellStyle name="Millares 2 3 2 4 4 2 4" xfId="3469" xr:uid="{C2420D63-FAF7-4708-A731-FD9885DFD744}"/>
    <cellStyle name="Millares 2 3 2 4 4 3" xfId="2284" xr:uid="{EAABD908-C264-4234-878B-A929474536FC}"/>
    <cellStyle name="Millares 2 3 2 4 4 3 2" xfId="3866" xr:uid="{EB0C0AFC-0814-406C-8471-EBFC1C9D6795}"/>
    <cellStyle name="Millares 2 3 2 4 4 4" xfId="1493" xr:uid="{B4B67224-9A59-420C-A93A-3D8391E595EA}"/>
    <cellStyle name="Millares 2 3 2 4 4 5" xfId="3075" xr:uid="{B3856CE9-74AF-4EBC-B2F9-EC0B2D2B1C7A}"/>
    <cellStyle name="Millares 2 3 2 4 5" xfId="874" xr:uid="{54F83FDE-D316-4D92-9546-66EBBD5F2FCA}"/>
    <cellStyle name="Millares 2 3 2 4 5 2" xfId="2457" xr:uid="{0E01C343-EDCD-4D2A-AA73-5544553D68B0}"/>
    <cellStyle name="Millares 2 3 2 4 5 2 2" xfId="4039" xr:uid="{6CC226A2-05AB-449C-BE1C-ED161D0732B5}"/>
    <cellStyle name="Millares 2 3 2 4 5 3" xfId="1666" xr:uid="{A3B4A0B3-0AB1-4D5C-B5F6-9BBFA30FE298}"/>
    <cellStyle name="Millares 2 3 2 4 5 4" xfId="3248" xr:uid="{A7343858-C145-40D2-ADE0-9A15D1BF2CEA}"/>
    <cellStyle name="Millares 2 3 2 4 6" xfId="2063" xr:uid="{E3008AAB-5EC4-43AC-8275-209A20A89DEB}"/>
    <cellStyle name="Millares 2 3 2 4 6 2" xfId="3645" xr:uid="{828053D3-1B76-4F6D-9317-C92732849AEF}"/>
    <cellStyle name="Millares 2 3 2 4 7" xfId="1272" xr:uid="{BE66849F-C2B4-4D16-AB70-5951EDEF89FC}"/>
    <cellStyle name="Millares 2 3 2 4 8" xfId="2854" xr:uid="{19DA122F-7AF9-4DB3-BFAD-69586FEDA43B}"/>
    <cellStyle name="Millares 2 3 2 5" xfId="502" xr:uid="{3F41A304-9B32-4E66-B073-BF988256E698}"/>
    <cellStyle name="Millares 2 3 2 5 2" xfId="730" xr:uid="{712AAE5B-3B4C-4D2C-AE8B-FF44B58A6B90}"/>
    <cellStyle name="Millares 2 3 2 5 2 2" xfId="1130" xr:uid="{338046F2-6C30-49C4-9FC9-B7B95AC66D7B}"/>
    <cellStyle name="Millares 2 3 2 5 2 2 2" xfId="2713" xr:uid="{295FD70B-B474-445C-8CB0-5D4E98662605}"/>
    <cellStyle name="Millares 2 3 2 5 2 2 2 2" xfId="4295" xr:uid="{04011FB8-3391-4DCA-ADC9-C2F3D72261B3}"/>
    <cellStyle name="Millares 2 3 2 5 2 2 3" xfId="1922" xr:uid="{79AF77D3-A76D-4B68-A834-CBE7C0CC99E5}"/>
    <cellStyle name="Millares 2 3 2 5 2 2 4" xfId="3504" xr:uid="{2E5305FC-1973-4B91-9DA9-93639255F7DC}"/>
    <cellStyle name="Millares 2 3 2 5 2 3" xfId="2319" xr:uid="{B0F5ED53-8330-448D-9E30-F4B2F4B8704F}"/>
    <cellStyle name="Millares 2 3 2 5 2 3 2" xfId="3901" xr:uid="{6260E84A-A036-4C5A-B996-1FA5791FFB78}"/>
    <cellStyle name="Millares 2 3 2 5 2 4" xfId="1528" xr:uid="{D0B86FCA-E210-41DE-B702-17449BF9C225}"/>
    <cellStyle name="Millares 2 3 2 5 2 5" xfId="3110" xr:uid="{3D15F988-C4E3-4C87-94A2-E71DE2FEE2DF}"/>
    <cellStyle name="Millares 2 3 2 5 3" xfId="909" xr:uid="{513F166E-A52F-4B3F-9D15-CBE5C75157BC}"/>
    <cellStyle name="Millares 2 3 2 5 3 2" xfId="2492" xr:uid="{89DF7158-B3D9-4D5B-8561-120C79A0DC8F}"/>
    <cellStyle name="Millares 2 3 2 5 3 2 2" xfId="4074" xr:uid="{B58D9005-2E92-4B62-96A9-ED3B91624C10}"/>
    <cellStyle name="Millares 2 3 2 5 3 3" xfId="1701" xr:uid="{301C45B0-E02F-4E41-9CAE-F25FB12AF355}"/>
    <cellStyle name="Millares 2 3 2 5 3 4" xfId="3283" xr:uid="{72B8F6F6-0917-4DC5-B1EA-228FDE5FDF4D}"/>
    <cellStyle name="Millares 2 3 2 5 4" xfId="2098" xr:uid="{5BD5E586-5D58-4EDF-8D36-61A56155E154}"/>
    <cellStyle name="Millares 2 3 2 5 4 2" xfId="3680" xr:uid="{71AF7B6E-9072-43AD-A054-910EDF7A20AC}"/>
    <cellStyle name="Millares 2 3 2 5 5" xfId="1307" xr:uid="{3B0792F0-DCB5-4F33-AEFD-BC62939DB03D}"/>
    <cellStyle name="Millares 2 3 2 5 6" xfId="2889" xr:uid="{FBE52E54-36B4-4F53-915B-5E15B39C7E73}"/>
    <cellStyle name="Millares 2 3 2 6" xfId="579" xr:uid="{88664022-DDF1-4AFC-942E-1A1A1C02436E}"/>
    <cellStyle name="Millares 2 3 2 6 2" xfId="986" xr:uid="{016AB186-FD9F-462F-9668-C7FA4778D366}"/>
    <cellStyle name="Millares 2 3 2 6 2 2" xfId="2569" xr:uid="{BF6E4D0B-4D67-41D5-BEBB-F93C671CF3A4}"/>
    <cellStyle name="Millares 2 3 2 6 2 2 2" xfId="4151" xr:uid="{6CD3DF4D-2502-45E0-A709-9413853C6006}"/>
    <cellStyle name="Millares 2 3 2 6 2 3" xfId="1778" xr:uid="{D0DF74A0-8094-4BDA-B002-568BC9D293F8}"/>
    <cellStyle name="Millares 2 3 2 6 2 4" xfId="3360" xr:uid="{B58EBFD0-B854-4A05-B6A1-F4FA23DE1D4C}"/>
    <cellStyle name="Millares 2 3 2 6 3" xfId="2175" xr:uid="{DCFA53BE-6C88-4CF3-899D-BFD056DC8A2B}"/>
    <cellStyle name="Millares 2 3 2 6 3 2" xfId="3757" xr:uid="{44C4FB74-F8EC-43AE-9B6B-509AA70F7D8E}"/>
    <cellStyle name="Millares 2 3 2 6 4" xfId="1384" xr:uid="{F0AB4368-407E-4E86-8392-7DBF331C5066}"/>
    <cellStyle name="Millares 2 3 2 6 5" xfId="2966" xr:uid="{1C34DAFD-BF3E-4622-88BF-732A385575AB}"/>
    <cellStyle name="Millares 2 3 2 7" xfId="654" xr:uid="{A10B65CB-B430-40A2-9701-010DF4498C00}"/>
    <cellStyle name="Millares 2 3 2 7 2" xfId="1054" xr:uid="{4A26E2C2-1B93-4A00-971F-7ED4EFCC660B}"/>
    <cellStyle name="Millares 2 3 2 7 2 2" xfId="2637" xr:uid="{627FAC26-86AC-48A1-95EA-570292BD40FC}"/>
    <cellStyle name="Millares 2 3 2 7 2 2 2" xfId="4219" xr:uid="{0CAA7A75-D2F6-490F-91A0-1A303547A693}"/>
    <cellStyle name="Millares 2 3 2 7 2 3" xfId="1846" xr:uid="{46D4419D-F99E-4E7E-BA1D-BA30818B399D}"/>
    <cellStyle name="Millares 2 3 2 7 2 4" xfId="3428" xr:uid="{089C91C0-7309-4235-937D-BC644DEDD4D2}"/>
    <cellStyle name="Millares 2 3 2 7 3" xfId="2243" xr:uid="{EA4DEB8D-E876-46BB-8B34-1093193183C5}"/>
    <cellStyle name="Millares 2 3 2 7 3 2" xfId="3825" xr:uid="{45D2E694-E600-4683-835B-40AFAA509602}"/>
    <cellStyle name="Millares 2 3 2 7 4" xfId="1452" xr:uid="{B18C69D2-E7DA-4087-87D0-C56CDA4E8084}"/>
    <cellStyle name="Millares 2 3 2 7 5" xfId="3034" xr:uid="{6B11D2A2-F77E-4EEC-B105-6D603274A457}"/>
    <cellStyle name="Millares 2 3 2 8" xfId="806" xr:uid="{9A81B6F1-5837-46D3-B486-2777D0C78A1D}"/>
    <cellStyle name="Millares 2 3 2 8 2" xfId="1206" xr:uid="{B75DAB81-2A6C-42A6-A692-FA25FF860AF7}"/>
    <cellStyle name="Millares 2 3 2 8 2 2" xfId="2789" xr:uid="{00E5C2DA-E8AA-455F-ADBC-ACAFF2760C1C}"/>
    <cellStyle name="Millares 2 3 2 8 2 2 2" xfId="4371" xr:uid="{7E216829-6BA7-47ED-B3A9-C00CB96AEA6B}"/>
    <cellStyle name="Millares 2 3 2 8 2 3" xfId="1998" xr:uid="{C143DB7E-3ED8-49FD-B0FD-9D04C71DF4A8}"/>
    <cellStyle name="Millares 2 3 2 8 2 4" xfId="3580" xr:uid="{128B8B4F-916D-44F9-9CD1-9622BA74F111}"/>
    <cellStyle name="Millares 2 3 2 8 3" xfId="2395" xr:uid="{22909839-E5E9-4B7D-AB89-228EF94901D5}"/>
    <cellStyle name="Millares 2 3 2 8 3 2" xfId="3977" xr:uid="{0CA1A0D3-1E2E-44F3-AA9D-ECDA6D32EB0D}"/>
    <cellStyle name="Millares 2 3 2 8 4" xfId="1604" xr:uid="{79787579-A9C2-4D9D-B06E-877A6A2565C2}"/>
    <cellStyle name="Millares 2 3 2 8 5" xfId="3186" xr:uid="{C791F194-608E-40E8-80BE-5A99B386FF39}"/>
    <cellStyle name="Millares 2 3 2 9" xfId="833" xr:uid="{2A73C8BA-3541-45FB-B6FD-D4EEA617D022}"/>
    <cellStyle name="Millares 2 3 2 9 2" xfId="2416" xr:uid="{227F02AB-3BEB-4287-BCC1-7A42F8CAE729}"/>
    <cellStyle name="Millares 2 3 2 9 2 2" xfId="3998" xr:uid="{13BA69F7-F9A7-461D-AE4A-ECE3E2A91981}"/>
    <cellStyle name="Millares 2 3 2 9 3" xfId="1625" xr:uid="{6A6872FD-1DA1-463C-A7EC-394950BEC767}"/>
    <cellStyle name="Millares 2 3 2 9 4" xfId="3207" xr:uid="{C1C36653-C159-4C8E-B5DE-AE40883A1CAE}"/>
    <cellStyle name="Millares 2 3 3" xfId="364" xr:uid="{D7A880D8-9093-47E3-B88F-9AA17781888F}"/>
    <cellStyle name="Millares 2 3 4" xfId="450" xr:uid="{0B6001DF-4AC7-4F1F-AA21-694002B7C971}"/>
    <cellStyle name="Millares 2 3 5" xfId="415" xr:uid="{30ADCC0D-7915-41EF-9760-FCCB3DB20322}"/>
    <cellStyle name="Millares 2 3 5 2" xfId="530" xr:uid="{8ECAB32C-499E-458C-98A8-74BA7BEE6DE5}"/>
    <cellStyle name="Millares 2 3 5 2 2" xfId="758" xr:uid="{F5DB8CE3-0C51-4478-8AEF-990B3B3DA188}"/>
    <cellStyle name="Millares 2 3 5 2 2 2" xfId="1158" xr:uid="{CB9F62B7-4296-45B4-955A-7D25C9870F2A}"/>
    <cellStyle name="Millares 2 3 5 2 2 2 2" xfId="2741" xr:uid="{1CA74506-001A-4468-9734-5EFAE670968F}"/>
    <cellStyle name="Millares 2 3 5 2 2 2 2 2" xfId="4323" xr:uid="{D23A2120-4C0E-44C6-A932-2C6AD414E453}"/>
    <cellStyle name="Millares 2 3 5 2 2 2 3" xfId="1950" xr:uid="{0823B6D7-2561-48DA-B21C-71DD41B925BA}"/>
    <cellStyle name="Millares 2 3 5 2 2 2 4" xfId="3532" xr:uid="{55F68988-03AF-47BC-B707-37FC9D0E077B}"/>
    <cellStyle name="Millares 2 3 5 2 2 3" xfId="2347" xr:uid="{116D6645-60A0-4AFD-A44D-DEE33EECC939}"/>
    <cellStyle name="Millares 2 3 5 2 2 3 2" xfId="3929" xr:uid="{0E86CB19-FE18-4382-8EEA-9EEA6CAEFF95}"/>
    <cellStyle name="Millares 2 3 5 2 2 4" xfId="1556" xr:uid="{847F4BCE-5D74-4846-9282-B55E6CAB4783}"/>
    <cellStyle name="Millares 2 3 5 2 2 5" xfId="3138" xr:uid="{06F9460E-6FBF-45C2-B472-1D44C7D835BC}"/>
    <cellStyle name="Millares 2 3 5 2 3" xfId="937" xr:uid="{CCD9A194-9D44-4903-9106-83769B4A2AC6}"/>
    <cellStyle name="Millares 2 3 5 2 3 2" xfId="2520" xr:uid="{E95DDB2A-39FD-40CC-A99C-724511BA7922}"/>
    <cellStyle name="Millares 2 3 5 2 3 2 2" xfId="4102" xr:uid="{A3843CEA-610F-4AF4-8D54-4DBFE0462A2F}"/>
    <cellStyle name="Millares 2 3 5 2 3 3" xfId="1729" xr:uid="{9B5F4634-F7F9-4F55-96DE-85E23CA73127}"/>
    <cellStyle name="Millares 2 3 5 2 3 4" xfId="3311" xr:uid="{B0BEF2D8-E908-4747-A482-878743B6F6B6}"/>
    <cellStyle name="Millares 2 3 5 2 4" xfId="2126" xr:uid="{90790195-BD63-4CFE-8D88-8702B7B9FFCC}"/>
    <cellStyle name="Millares 2 3 5 2 4 2" xfId="3708" xr:uid="{563AFCF7-D348-4394-831E-92DCD69D6EE0}"/>
    <cellStyle name="Millares 2 3 5 2 5" xfId="1335" xr:uid="{1A40DED5-EE48-4BD9-977D-2D16CD00330A}"/>
    <cellStyle name="Millares 2 3 5 2 6" xfId="2917" xr:uid="{EFC31A19-3BCE-402D-BB6D-A219A63C7D54}"/>
    <cellStyle name="Millares 2 3 5 3" xfId="607" xr:uid="{D188388C-3AB1-4756-B38D-164043F04080}"/>
    <cellStyle name="Millares 2 3 5 3 2" xfId="1014" xr:uid="{1B4CFCE3-3D19-4CC2-B79B-29AADAD4466D}"/>
    <cellStyle name="Millares 2 3 5 3 2 2" xfId="2597" xr:uid="{5D7A8EEA-CC1B-472D-ACB3-58FB0D0C1532}"/>
    <cellStyle name="Millares 2 3 5 3 2 2 2" xfId="4179" xr:uid="{B722956C-4E9C-4D5E-B9C6-89E49A099D21}"/>
    <cellStyle name="Millares 2 3 5 3 2 3" xfId="1806" xr:uid="{9A468DD6-61CE-47C7-8CFE-F30F418E1A57}"/>
    <cellStyle name="Millares 2 3 5 3 2 4" xfId="3388" xr:uid="{F4E526D0-1506-4A83-B9E5-3587CEA1D53A}"/>
    <cellStyle name="Millares 2 3 5 3 3" xfId="2203" xr:uid="{FC780177-6963-48FB-8BBE-646D3D6B2145}"/>
    <cellStyle name="Millares 2 3 5 3 3 2" xfId="3785" xr:uid="{6FF9C5DD-C8C0-472B-A859-0ABEDBE1A940}"/>
    <cellStyle name="Millares 2 3 5 3 4" xfId="1412" xr:uid="{CFCF67D2-2524-45FC-96D6-FC67318C700E}"/>
    <cellStyle name="Millares 2 3 5 3 5" xfId="2994" xr:uid="{B1411916-6402-40ED-96E9-69C96CC02953}"/>
    <cellStyle name="Millares 2 3 5 4" xfId="682" xr:uid="{12482747-DFC8-4D30-B936-119084933D95}"/>
    <cellStyle name="Millares 2 3 5 4 2" xfId="1082" xr:uid="{8F7CEA30-3FFB-4AC4-A958-19A62322B53F}"/>
    <cellStyle name="Millares 2 3 5 4 2 2" xfId="2665" xr:uid="{54195F15-924F-4E23-8698-DD8FC9149E38}"/>
    <cellStyle name="Millares 2 3 5 4 2 2 2" xfId="4247" xr:uid="{A02A70C5-B4CF-47FD-ACF9-A850FDB087F7}"/>
    <cellStyle name="Millares 2 3 5 4 2 3" xfId="1874" xr:uid="{EEF5676F-13B9-4054-BC8F-9939136AA18C}"/>
    <cellStyle name="Millares 2 3 5 4 2 4" xfId="3456" xr:uid="{8982575D-3822-4BFA-8C7C-D03FC5ABF0EC}"/>
    <cellStyle name="Millares 2 3 5 4 3" xfId="2271" xr:uid="{6FC8D790-E16B-4D98-A875-66F2E9140F74}"/>
    <cellStyle name="Millares 2 3 5 4 3 2" xfId="3853" xr:uid="{7CB2450D-DE3D-4623-BD90-7A249659CCF6}"/>
    <cellStyle name="Millares 2 3 5 4 4" xfId="1480" xr:uid="{68E4E8D6-6279-4D22-87CB-B9FE28CB7866}"/>
    <cellStyle name="Millares 2 3 5 4 5" xfId="3062" xr:uid="{00D1AC0D-F61C-4BC5-986D-57C1149FC0FC}"/>
    <cellStyle name="Millares 2 3 5 5" xfId="861" xr:uid="{759AA0B9-0872-43F4-B363-F8AD39143E9B}"/>
    <cellStyle name="Millares 2 3 5 5 2" xfId="2444" xr:uid="{C0DD72A6-F2AE-4F83-95BD-C095FD7E7A7D}"/>
    <cellStyle name="Millares 2 3 5 5 2 2" xfId="4026" xr:uid="{641AE439-1924-402D-AE65-61DB7692E61D}"/>
    <cellStyle name="Millares 2 3 5 5 3" xfId="1653" xr:uid="{D6BB61DC-F2C9-4F41-BFF9-F236EA8FF751}"/>
    <cellStyle name="Millares 2 3 5 5 4" xfId="3235" xr:uid="{6B53A50B-54FB-4616-B036-F8304ACA7CD0}"/>
    <cellStyle name="Millares 2 3 5 6" xfId="2050" xr:uid="{6BF34240-04DB-40E2-9639-3CE846AFEBFD}"/>
    <cellStyle name="Millares 2 3 5 6 2" xfId="3632" xr:uid="{96A1AC6A-0135-48F6-80C4-895F0D68105F}"/>
    <cellStyle name="Millares 2 3 5 7" xfId="1259" xr:uid="{9CC5404F-1191-4091-873C-8E1B72E31972}"/>
    <cellStyle name="Millares 2 3 5 8" xfId="2841" xr:uid="{55B2FC56-C153-4605-B6AA-EB79A6C24DA9}"/>
    <cellStyle name="Millares 2 3 6" xfId="489" xr:uid="{945D46CF-D8B1-4009-8B8E-7DCF0334E05A}"/>
    <cellStyle name="Millares 2 3 6 2" xfId="717" xr:uid="{8CD2B855-9326-4B86-B10B-87AA4E8719EA}"/>
    <cellStyle name="Millares 2 3 6 2 2" xfId="1117" xr:uid="{FA974B83-C0F9-4378-860F-8C451BC5AEFC}"/>
    <cellStyle name="Millares 2 3 6 2 2 2" xfId="2700" xr:uid="{469BA365-6F23-4DDF-B7A7-D8ACED979CD9}"/>
    <cellStyle name="Millares 2 3 6 2 2 2 2" xfId="4282" xr:uid="{5C3DBB46-9255-4155-85E8-052A00ADC811}"/>
    <cellStyle name="Millares 2 3 6 2 2 3" xfId="1909" xr:uid="{F6160587-EAC1-477A-9E1F-2741130FE0A5}"/>
    <cellStyle name="Millares 2 3 6 2 2 4" xfId="3491" xr:uid="{38BBA9E5-F84F-4CD1-9D27-4B431C822532}"/>
    <cellStyle name="Millares 2 3 6 2 3" xfId="2306" xr:uid="{944DA5DB-5042-4F0D-9EB4-DECAB62BCFF3}"/>
    <cellStyle name="Millares 2 3 6 2 3 2" xfId="3888" xr:uid="{CD730E42-9EC0-4E3B-89A2-4BEA14A67FAE}"/>
    <cellStyle name="Millares 2 3 6 2 4" xfId="1515" xr:uid="{289E80DD-A4BC-4A67-AFC7-D32D5132C93F}"/>
    <cellStyle name="Millares 2 3 6 2 5" xfId="3097" xr:uid="{318A05E6-36C0-4897-8107-4720E3D8ABBD}"/>
    <cellStyle name="Millares 2 3 6 3" xfId="896" xr:uid="{22185111-26B0-4EB3-BF9B-3BA44D0734C3}"/>
    <cellStyle name="Millares 2 3 6 3 2" xfId="2479" xr:uid="{C9493E87-46B5-4792-8A85-B91C67403198}"/>
    <cellStyle name="Millares 2 3 6 3 2 2" xfId="4061" xr:uid="{08D97F81-9BFB-4780-93BE-19E31FB51FA4}"/>
    <cellStyle name="Millares 2 3 6 3 3" xfId="1688" xr:uid="{D17C0ACF-018A-4E67-88CA-23592B73ED3E}"/>
    <cellStyle name="Millares 2 3 6 3 4" xfId="3270" xr:uid="{D077F27B-D2C8-435D-8B8A-12BA7B17C03E}"/>
    <cellStyle name="Millares 2 3 6 4" xfId="2085" xr:uid="{5ED142BF-D3A8-4D69-BFCC-9A03ED2D21D9}"/>
    <cellStyle name="Millares 2 3 6 4 2" xfId="3667" xr:uid="{5729D770-2035-42B3-8203-AAEEA39E8DED}"/>
    <cellStyle name="Millares 2 3 6 5" xfId="1294" xr:uid="{4A802A9B-0E1B-4164-96D4-75C5BDA66758}"/>
    <cellStyle name="Millares 2 3 6 6" xfId="2876" xr:uid="{1F046F73-0E99-4A2B-AD8E-721C4B0AF2D5}"/>
    <cellStyle name="Millares 2 3 7" xfId="566" xr:uid="{6F9CDA00-F6D2-4DF8-B686-807F08C78FDE}"/>
    <cellStyle name="Millares 2 3 7 2" xfId="973" xr:uid="{C4F18778-9FCC-490D-B91A-FD9C083C230B}"/>
    <cellStyle name="Millares 2 3 7 2 2" xfId="2556" xr:uid="{27ACC520-EFA9-4A05-AFA1-7C4A6A8BAB23}"/>
    <cellStyle name="Millares 2 3 7 2 2 2" xfId="4138" xr:uid="{CBBC8CB8-852F-4D9C-B6F0-970EE3388892}"/>
    <cellStyle name="Millares 2 3 7 2 3" xfId="1765" xr:uid="{6BBD3164-F53D-4362-AB24-1993479F13ED}"/>
    <cellStyle name="Millares 2 3 7 2 4" xfId="3347" xr:uid="{BAAEFF29-BD28-4FC4-B3B9-A5A59E80B916}"/>
    <cellStyle name="Millares 2 3 7 3" xfId="2162" xr:uid="{D136D4F1-C37E-4A0B-8864-34A50339275A}"/>
    <cellStyle name="Millares 2 3 7 3 2" xfId="3744" xr:uid="{4B31C0FA-9EC1-4F36-82A3-9EB385C01D92}"/>
    <cellStyle name="Millares 2 3 7 4" xfId="1371" xr:uid="{6F5F0D9A-D879-4AE5-AE23-FB47A09B1EF8}"/>
    <cellStyle name="Millares 2 3 7 5" xfId="2953" xr:uid="{2657A490-39DD-41F0-BE53-B9C2F4D1C21F}"/>
    <cellStyle name="Millares 2 3 8" xfId="641" xr:uid="{A979E4CA-BDA5-46B1-9E1F-8BA56E467DDC}"/>
    <cellStyle name="Millares 2 3 8 2" xfId="1041" xr:uid="{D4DE52BD-4372-4715-BA85-47A5E079037B}"/>
    <cellStyle name="Millares 2 3 8 2 2" xfId="2624" xr:uid="{FDD34F35-8EB8-47FE-9743-AC5E5D667973}"/>
    <cellStyle name="Millares 2 3 8 2 2 2" xfId="4206" xr:uid="{52DA18B4-A98D-4706-A459-DA54AFE1D510}"/>
    <cellStyle name="Millares 2 3 8 2 3" xfId="1833" xr:uid="{3C6D1F85-9FA2-4FD6-83B2-605926E1794E}"/>
    <cellStyle name="Millares 2 3 8 2 4" xfId="3415" xr:uid="{D0860086-8140-48C8-8091-6CAE3591E165}"/>
    <cellStyle name="Millares 2 3 8 3" xfId="2230" xr:uid="{F2393CA8-A407-4274-9E55-B5486E7B9D13}"/>
    <cellStyle name="Millares 2 3 8 3 2" xfId="3812" xr:uid="{B1B1F4E6-4877-49FB-B4FA-FEE683EF42CC}"/>
    <cellStyle name="Millares 2 3 8 4" xfId="1439" xr:uid="{5B3059F1-E64C-4359-B8D4-8C648B6DF98D}"/>
    <cellStyle name="Millares 2 3 8 5" xfId="3021" xr:uid="{96CA8FAC-2FFD-4BDD-AEAD-C175FCCD3952}"/>
    <cellStyle name="Millares 2 3 9" xfId="793" xr:uid="{0C8F3022-CC21-438E-924A-AF05378D8D1E}"/>
    <cellStyle name="Millares 2 3 9 2" xfId="1193" xr:uid="{837AA8CB-ACB2-4D26-8CBA-92E0340B2870}"/>
    <cellStyle name="Millares 2 3 9 2 2" xfId="2776" xr:uid="{E88511CF-19B0-427F-9376-130D80D981EA}"/>
    <cellStyle name="Millares 2 3 9 2 2 2" xfId="4358" xr:uid="{5F41DEFB-5116-4FB5-93FD-89167BA74B55}"/>
    <cellStyle name="Millares 2 3 9 2 3" xfId="1985" xr:uid="{DD3543A0-CEB2-4610-9DDA-A77BC6FCE6FD}"/>
    <cellStyle name="Millares 2 3 9 2 4" xfId="3567" xr:uid="{F48E7B0F-9828-4341-93FE-B603AEBC3825}"/>
    <cellStyle name="Millares 2 3 9 3" xfId="2382" xr:uid="{4E317610-181E-4698-AD26-0311F82F4069}"/>
    <cellStyle name="Millares 2 3 9 3 2" xfId="3964" xr:uid="{9207923A-E8C9-4FF7-BC51-1128C2EEE000}"/>
    <cellStyle name="Millares 2 3 9 4" xfId="1591" xr:uid="{B79CF822-6C2C-4223-87F9-5E5D28B82B49}"/>
    <cellStyle name="Millares 2 3 9 5" xfId="3173" xr:uid="{B9829BBB-786E-47D0-8226-1DD041678FF4}"/>
    <cellStyle name="Millares 2 4" xfId="249" xr:uid="{C5AC93D9-742B-4929-84B8-D65E206B9E5C}"/>
    <cellStyle name="Millares 20" xfId="389" xr:uid="{ED54CB25-D410-4A5E-901F-525AE71025B3}"/>
    <cellStyle name="Millares 20 2" xfId="510" xr:uid="{09655EA8-311E-4B7D-A98E-A46B9FBCCD0F}"/>
    <cellStyle name="Millares 20 2 2" xfId="738" xr:uid="{B94678BF-6CFF-445C-BD20-27852B58DB02}"/>
    <cellStyle name="Millares 20 2 2 2" xfId="1138" xr:uid="{475AA41B-8E9A-4F45-B477-01B5E5A94041}"/>
    <cellStyle name="Millares 20 2 2 2 2" xfId="2721" xr:uid="{7C9CF04A-6B1B-4DFA-8687-AB9F5B4F005A}"/>
    <cellStyle name="Millares 20 2 2 2 2 2" xfId="4303" xr:uid="{5408B9C8-0F63-445D-BCC9-172CF1D9DE50}"/>
    <cellStyle name="Millares 20 2 2 2 3" xfId="1930" xr:uid="{DC715DA9-6D0C-460B-9FD6-D87BFD77CFAB}"/>
    <cellStyle name="Millares 20 2 2 2 4" xfId="3512" xr:uid="{0A2E9A41-229C-4B27-B667-0380B1955080}"/>
    <cellStyle name="Millares 20 2 2 3" xfId="2327" xr:uid="{B8D7C639-2569-431B-A1A0-2E23E1109B0F}"/>
    <cellStyle name="Millares 20 2 2 3 2" xfId="3909" xr:uid="{07BB5AFE-0BF3-4EE1-95ED-12CAD6EC2745}"/>
    <cellStyle name="Millares 20 2 2 4" xfId="1536" xr:uid="{6A1A8124-F399-40FF-9D2F-4CA1F2F01D1E}"/>
    <cellStyle name="Millares 20 2 2 5" xfId="3118" xr:uid="{E53010AB-B41C-49FE-8AF3-C970FABB8F51}"/>
    <cellStyle name="Millares 20 2 3" xfId="917" xr:uid="{0358C742-877B-4D75-BAAB-1BE4423D9F81}"/>
    <cellStyle name="Millares 20 2 3 2" xfId="2500" xr:uid="{DDE1F1C1-A8D6-4329-9580-01E981E53B8E}"/>
    <cellStyle name="Millares 20 2 3 2 2" xfId="4082" xr:uid="{5B0805A3-7CBB-488F-ADF2-10E784008F86}"/>
    <cellStyle name="Millares 20 2 3 3" xfId="1709" xr:uid="{58F3A7F1-475F-4FAE-8006-1696EA9540F0}"/>
    <cellStyle name="Millares 20 2 3 4" xfId="3291" xr:uid="{E6008D22-2504-48AE-8A8F-780217B3C1B1}"/>
    <cellStyle name="Millares 20 2 4" xfId="2106" xr:uid="{CBC1A388-CF72-41DE-A0C5-556CF3547CAD}"/>
    <cellStyle name="Millares 20 2 4 2" xfId="3688" xr:uid="{8420C57B-7D7B-4B80-BF2B-D234D0F404DA}"/>
    <cellStyle name="Millares 20 2 5" xfId="1315" xr:uid="{F5964731-17FB-40D0-93FA-99DAA931AA14}"/>
    <cellStyle name="Millares 20 2 6" xfId="2897" xr:uid="{DF0612A9-6FE6-4924-88DB-DEE5576D5F06}"/>
    <cellStyle name="Millares 20 3" xfId="587" xr:uid="{50DD59DB-720D-42B3-A315-B466A863430C}"/>
    <cellStyle name="Millares 20 3 2" xfId="994" xr:uid="{64296A54-E75E-4E33-976E-D49B1AC7452F}"/>
    <cellStyle name="Millares 20 3 2 2" xfId="2577" xr:uid="{3F9E17DE-99BC-4BB7-9958-20A684C803DE}"/>
    <cellStyle name="Millares 20 3 2 2 2" xfId="4159" xr:uid="{32F3424F-A331-4EFE-973E-75ABD3EA4C1A}"/>
    <cellStyle name="Millares 20 3 2 3" xfId="1786" xr:uid="{3203B14B-60DC-407E-902B-D9A82B5235CF}"/>
    <cellStyle name="Millares 20 3 2 4" xfId="3368" xr:uid="{8E07347F-A3AF-441A-A1C5-7BB4581609E2}"/>
    <cellStyle name="Millares 20 3 3" xfId="2183" xr:uid="{1C555D37-20E2-4577-8EAA-9FF87552C525}"/>
    <cellStyle name="Millares 20 3 3 2" xfId="3765" xr:uid="{0B2089D5-0548-4D06-A9AB-FA6DA885E651}"/>
    <cellStyle name="Millares 20 3 4" xfId="1392" xr:uid="{1D671CBD-A585-4AA9-8B7F-23F391E5D0F3}"/>
    <cellStyle name="Millares 20 3 5" xfId="2974" xr:uid="{485ECA7E-1FF5-4552-A726-1996A42ED154}"/>
    <cellStyle name="Millares 20 4" xfId="662" xr:uid="{0C794E62-0E93-4483-A88C-A8C1498B9FBA}"/>
    <cellStyle name="Millares 20 4 2" xfId="1062" xr:uid="{01738DE2-B672-4750-A802-14062E50001F}"/>
    <cellStyle name="Millares 20 4 2 2" xfId="2645" xr:uid="{3D63CEAA-D3CB-4173-9FED-D7C518535770}"/>
    <cellStyle name="Millares 20 4 2 2 2" xfId="4227" xr:uid="{6B84CED2-2056-459D-85C5-21E3B5C87F76}"/>
    <cellStyle name="Millares 20 4 2 3" xfId="1854" xr:uid="{0E6974F1-8DAF-4B1A-8AAD-A021F025264E}"/>
    <cellStyle name="Millares 20 4 2 4" xfId="3436" xr:uid="{7483B861-9931-43DB-A915-A22D6C049C98}"/>
    <cellStyle name="Millares 20 4 3" xfId="2251" xr:uid="{B956B292-1F4C-4C9D-94C8-449DFB1D51E1}"/>
    <cellStyle name="Millares 20 4 3 2" xfId="3833" xr:uid="{5BD4986E-48F7-4315-9119-FA2417669E34}"/>
    <cellStyle name="Millares 20 4 4" xfId="1460" xr:uid="{85AA0F48-AD39-4545-83E8-A1777F0FCDC8}"/>
    <cellStyle name="Millares 20 4 5" xfId="3042" xr:uid="{1ACAFF35-1CCF-405C-8542-1AF79097CDEB}"/>
    <cellStyle name="Millares 20 5" xfId="841" xr:uid="{A4513857-1AE6-4839-8CD0-6B9B84585228}"/>
    <cellStyle name="Millares 20 5 2" xfId="2424" xr:uid="{FDC1BF79-AA6D-4204-B244-7F5FBD5662EB}"/>
    <cellStyle name="Millares 20 5 2 2" xfId="4006" xr:uid="{5792AA83-01D3-4D1E-B9C1-E77E588678E2}"/>
    <cellStyle name="Millares 20 5 3" xfId="1633" xr:uid="{A2426FE4-8760-4A4D-8E39-93CB78272D9A}"/>
    <cellStyle name="Millares 20 5 4" xfId="3215" xr:uid="{26146E76-0A52-48B8-92F4-C759B3E0BC90}"/>
    <cellStyle name="Millares 20 6" xfId="2030" xr:uid="{43C90F69-B647-4209-BFCB-67CBF833271A}"/>
    <cellStyle name="Millares 20 6 2" xfId="3612" xr:uid="{C5F4401F-9461-41AE-9689-E2EDCB0DB5AD}"/>
    <cellStyle name="Millares 20 7" xfId="1239" xr:uid="{07A78BD4-0485-4436-87F9-EB7C3B55FD97}"/>
    <cellStyle name="Millares 20 8" xfId="2821" xr:uid="{F2C66306-728C-4AB7-A11C-EB77E87FA055}"/>
    <cellStyle name="Millares 21" xfId="400" xr:uid="{600E4EE7-ED01-4347-A593-1850316D7C3C}"/>
    <cellStyle name="Millares 21 2" xfId="518" xr:uid="{E7BB48E8-F3CE-4CD4-A1F4-7671584155CC}"/>
    <cellStyle name="Millares 21 2 2" xfId="746" xr:uid="{9E8DE97F-15F6-439B-98FD-99E35D20DE05}"/>
    <cellStyle name="Millares 21 2 2 2" xfId="1146" xr:uid="{6E040F70-0D4D-4726-B1C5-E58B0A836273}"/>
    <cellStyle name="Millares 21 2 2 2 2" xfId="2729" xr:uid="{A59F57BC-78F0-4D25-9E87-2FA1A81D664D}"/>
    <cellStyle name="Millares 21 2 2 2 2 2" xfId="4311" xr:uid="{6CBB59A3-1D87-4EFB-855C-A702AD29E58F}"/>
    <cellStyle name="Millares 21 2 2 2 3" xfId="1938" xr:uid="{088CD9B1-7754-493D-972B-12A3D9E861A6}"/>
    <cellStyle name="Millares 21 2 2 2 4" xfId="3520" xr:uid="{4148D2BA-A31B-4BE6-BBAD-BF6F42B2F01C}"/>
    <cellStyle name="Millares 21 2 2 3" xfId="2335" xr:uid="{8E97D826-1472-4A98-AD54-BB082A6A9AAA}"/>
    <cellStyle name="Millares 21 2 2 3 2" xfId="3917" xr:uid="{59D49355-F03B-465E-BACD-17E389A327D1}"/>
    <cellStyle name="Millares 21 2 2 4" xfId="1544" xr:uid="{0506F641-CA6E-4C9D-AB6E-1DE2676C321B}"/>
    <cellStyle name="Millares 21 2 2 5" xfId="3126" xr:uid="{A3AE1778-D279-47C8-823B-DB8FD10982B1}"/>
    <cellStyle name="Millares 21 2 3" xfId="925" xr:uid="{BF0F157D-D913-4CCF-9F33-662722F118C1}"/>
    <cellStyle name="Millares 21 2 3 2" xfId="2508" xr:uid="{529F624B-830E-468F-9AE4-0E157E3E3DEE}"/>
    <cellStyle name="Millares 21 2 3 2 2" xfId="4090" xr:uid="{04BC85C3-7157-4886-96EB-CB1AB3262AA0}"/>
    <cellStyle name="Millares 21 2 3 3" xfId="1717" xr:uid="{6383ED96-DE95-4F61-8BC0-691CE6726576}"/>
    <cellStyle name="Millares 21 2 3 4" xfId="3299" xr:uid="{EC10D5D1-400F-4BD3-8E02-4F5E7A752890}"/>
    <cellStyle name="Millares 21 2 4" xfId="2114" xr:uid="{E93E30B3-1D30-487E-A6D5-DA9E48272934}"/>
    <cellStyle name="Millares 21 2 4 2" xfId="3696" xr:uid="{2DCFE653-103E-4A4B-AF7D-753ECF419D0B}"/>
    <cellStyle name="Millares 21 2 5" xfId="1323" xr:uid="{8B05C5F4-2140-4D6E-8781-FAE9E6CE3E2C}"/>
    <cellStyle name="Millares 21 2 6" xfId="2905" xr:uid="{0E73CB12-5D15-4421-A488-DC93784989B4}"/>
    <cellStyle name="Millares 21 3" xfId="595" xr:uid="{17EACDF9-D57D-4BFE-8D87-306F8858F700}"/>
    <cellStyle name="Millares 21 3 2" xfId="1002" xr:uid="{B360F52A-7654-4B91-B6E8-887A08626B77}"/>
    <cellStyle name="Millares 21 3 2 2" xfId="2585" xr:uid="{873A41E0-A667-4E68-814E-044FB04B5D8A}"/>
    <cellStyle name="Millares 21 3 2 2 2" xfId="4167" xr:uid="{6FDA5CA7-DE26-4258-B8F4-FCDB373B7E08}"/>
    <cellStyle name="Millares 21 3 2 3" xfId="1794" xr:uid="{0ABF98D4-A7BC-4FCE-B658-CC0CF0886FBB}"/>
    <cellStyle name="Millares 21 3 2 4" xfId="3376" xr:uid="{3636636E-4F20-4AE4-B6B0-10C4CC280B48}"/>
    <cellStyle name="Millares 21 3 3" xfId="2191" xr:uid="{4B450098-EE05-4AEF-B025-BB3D026FBCF2}"/>
    <cellStyle name="Millares 21 3 3 2" xfId="3773" xr:uid="{DD4C284B-3EED-4777-8FFC-2F2556350E07}"/>
    <cellStyle name="Millares 21 3 4" xfId="1400" xr:uid="{91FC385A-0BF8-4208-82D8-8D2528618775}"/>
    <cellStyle name="Millares 21 3 5" xfId="2982" xr:uid="{130D56D2-1699-4F3B-BBCD-4CCF701328C9}"/>
    <cellStyle name="Millares 21 4" xfId="670" xr:uid="{37CABEF4-6D33-4623-A94D-B3C9D0642814}"/>
    <cellStyle name="Millares 21 4 2" xfId="1070" xr:uid="{B0E3D2CF-AFBB-470B-BD0C-E2569EAFC978}"/>
    <cellStyle name="Millares 21 4 2 2" xfId="2653" xr:uid="{83125EAD-2F9A-4495-A6A7-D2B583C865FF}"/>
    <cellStyle name="Millares 21 4 2 2 2" xfId="4235" xr:uid="{D26EBA57-8332-426D-BFCD-6573AD3E980E}"/>
    <cellStyle name="Millares 21 4 2 3" xfId="1862" xr:uid="{B6C1397A-F89D-4E3E-AACA-2852A7116ECA}"/>
    <cellStyle name="Millares 21 4 2 4" xfId="3444" xr:uid="{C58D46D5-F7FB-44CF-B80C-C3AD8188B0C3}"/>
    <cellStyle name="Millares 21 4 3" xfId="2259" xr:uid="{048E1A75-0D25-43C8-8144-9D90E46B0967}"/>
    <cellStyle name="Millares 21 4 3 2" xfId="3841" xr:uid="{A35B5CFB-FF16-4084-B198-0DAF43BEC8A3}"/>
    <cellStyle name="Millares 21 4 4" xfId="1468" xr:uid="{324992C6-4263-4A75-8D12-5CA10037F49D}"/>
    <cellStyle name="Millares 21 4 5" xfId="3050" xr:uid="{74EF44EB-DDB0-4040-B991-61B7467D4C5D}"/>
    <cellStyle name="Millares 21 5" xfId="849" xr:uid="{5A5B962B-F212-480C-81B8-E583E4667DE1}"/>
    <cellStyle name="Millares 21 5 2" xfId="2432" xr:uid="{FEB6C170-4256-4EAC-8373-D9524D55832D}"/>
    <cellStyle name="Millares 21 5 2 2" xfId="4014" xr:uid="{E6F86C8C-89B4-4747-AE06-9F5FA20D60C6}"/>
    <cellStyle name="Millares 21 5 3" xfId="1641" xr:uid="{7846C70E-B17B-4F7D-A5C3-09441E5B28F1}"/>
    <cellStyle name="Millares 21 5 4" xfId="3223" xr:uid="{A71AF701-2575-4840-B873-C6F34111F3C9}"/>
    <cellStyle name="Millares 21 6" xfId="2038" xr:uid="{1CFC36FA-A075-41DE-B6C8-1910FEC07436}"/>
    <cellStyle name="Millares 21 6 2" xfId="3620" xr:uid="{43059068-9618-4A69-8E29-46A94DF032AF}"/>
    <cellStyle name="Millares 21 7" xfId="1247" xr:uid="{448ADCEE-8BB3-4B96-867E-C2D52A1DE8F4}"/>
    <cellStyle name="Millares 21 8" xfId="2829" xr:uid="{55D9B4F9-ABAD-4BAF-9703-56AA5EC4E410}"/>
    <cellStyle name="Millares 22" xfId="396" xr:uid="{5E465EC9-4A48-4351-A3B8-67F5BB55DE16}"/>
    <cellStyle name="Millares 22 2" xfId="517" xr:uid="{CDD848AB-088A-45A2-9D5F-BFFFC7AC7A9A}"/>
    <cellStyle name="Millares 22 2 2" xfId="745" xr:uid="{4FD14AA1-E63E-47DD-A94F-D4A8A32AAD12}"/>
    <cellStyle name="Millares 22 2 2 2" xfId="1145" xr:uid="{1ABCF8BE-FADF-4021-96FD-C85B1739397F}"/>
    <cellStyle name="Millares 22 2 2 2 2" xfId="2728" xr:uid="{47E7AA57-CEA0-4566-A642-F55F54AFFE12}"/>
    <cellStyle name="Millares 22 2 2 2 2 2" xfId="4310" xr:uid="{90F3143D-8FC5-42B0-AAD1-643BFCD382B1}"/>
    <cellStyle name="Millares 22 2 2 2 3" xfId="1937" xr:uid="{AA425A93-003B-4A09-9DAB-E0EC57203962}"/>
    <cellStyle name="Millares 22 2 2 2 4" xfId="3519" xr:uid="{EDC019CD-B242-4634-94A0-5EA529F26542}"/>
    <cellStyle name="Millares 22 2 2 3" xfId="2334" xr:uid="{6AFD07F5-E167-46EF-96C3-7B72FBA9565A}"/>
    <cellStyle name="Millares 22 2 2 3 2" xfId="3916" xr:uid="{3B7C4048-4050-464A-89D8-86EBF41A5563}"/>
    <cellStyle name="Millares 22 2 2 4" xfId="1543" xr:uid="{9F220D9A-B740-4BEC-93F1-F1E5E2651A94}"/>
    <cellStyle name="Millares 22 2 2 5" xfId="3125" xr:uid="{72DF5A3F-4765-4556-B3B1-11CA94030F23}"/>
    <cellStyle name="Millares 22 2 3" xfId="924" xr:uid="{04B2F6D1-D3ED-41E7-A603-479E59D1F699}"/>
    <cellStyle name="Millares 22 2 3 2" xfId="2507" xr:uid="{881C82E1-627F-4AE8-BD5F-00EDF019516A}"/>
    <cellStyle name="Millares 22 2 3 2 2" xfId="4089" xr:uid="{0776D98E-FD88-45BD-96E7-4A8B95FC76BB}"/>
    <cellStyle name="Millares 22 2 3 3" xfId="1716" xr:uid="{D4841C8D-687F-408E-96E8-ECAD3BC01A44}"/>
    <cellStyle name="Millares 22 2 3 4" xfId="3298" xr:uid="{EEB09E4C-C92C-4FF1-BB5D-141ADCD22A8A}"/>
    <cellStyle name="Millares 22 2 4" xfId="2113" xr:uid="{7807D140-DD57-471D-B519-78819F69C4BE}"/>
    <cellStyle name="Millares 22 2 4 2" xfId="3695" xr:uid="{B9718BAD-6DC5-4D42-826E-B8D8931119A7}"/>
    <cellStyle name="Millares 22 2 5" xfId="1322" xr:uid="{A7E5A6B5-B959-4C99-ABA2-D8B37C72EA3F}"/>
    <cellStyle name="Millares 22 2 6" xfId="2904" xr:uid="{0896A521-41E7-4DE0-A301-DAADE9E39806}"/>
    <cellStyle name="Millares 22 3" xfId="594" xr:uid="{10B2CC02-E1EE-4FA9-B0B3-126947A391E7}"/>
    <cellStyle name="Millares 22 3 2" xfId="1001" xr:uid="{784F0FA8-6C07-456B-84FA-3A21C552A3FA}"/>
    <cellStyle name="Millares 22 3 2 2" xfId="2584" xr:uid="{B53982E3-AAF1-42DC-A0F9-D51A0F78E46E}"/>
    <cellStyle name="Millares 22 3 2 2 2" xfId="4166" xr:uid="{85EFE3A5-89A8-4D63-BB4A-F1C15CA74523}"/>
    <cellStyle name="Millares 22 3 2 3" xfId="1793" xr:uid="{A0C1F5C9-FF13-409A-AB89-4BE52301CA34}"/>
    <cellStyle name="Millares 22 3 2 4" xfId="3375" xr:uid="{712B0504-2D06-43C8-8537-5A9A9D8920D0}"/>
    <cellStyle name="Millares 22 3 3" xfId="2190" xr:uid="{912728E0-5B5D-4A70-A07E-FE0AEE17B0A8}"/>
    <cellStyle name="Millares 22 3 3 2" xfId="3772" xr:uid="{626BFD09-F347-41CE-882D-1826524D337B}"/>
    <cellStyle name="Millares 22 3 4" xfId="1399" xr:uid="{37D84216-09A5-4480-ABA5-2276C0F4C062}"/>
    <cellStyle name="Millares 22 3 5" xfId="2981" xr:uid="{FF93E058-27E9-489A-8226-07679B7E1515}"/>
    <cellStyle name="Millares 22 4" xfId="669" xr:uid="{A95F23F6-281F-4EC8-A91B-5A2C1DC99093}"/>
    <cellStyle name="Millares 22 4 2" xfId="1069" xr:uid="{494DDEF9-D999-4050-8571-62E68E4BD61C}"/>
    <cellStyle name="Millares 22 4 2 2" xfId="2652" xr:uid="{B803CFA6-DD09-4128-AF1D-BA8932A83BFC}"/>
    <cellStyle name="Millares 22 4 2 2 2" xfId="4234" xr:uid="{7088EC40-0893-4632-B111-344F2C759F81}"/>
    <cellStyle name="Millares 22 4 2 3" xfId="1861" xr:uid="{8059E2DE-EEEC-4F71-BBFE-F1E741DE81E9}"/>
    <cellStyle name="Millares 22 4 2 4" xfId="3443" xr:uid="{2334ED38-38F6-4479-8E77-114A7D09EC88}"/>
    <cellStyle name="Millares 22 4 3" xfId="2258" xr:uid="{05413FF9-D3A0-46B8-9850-59BD98E881F4}"/>
    <cellStyle name="Millares 22 4 3 2" xfId="3840" xr:uid="{42E18B91-13AC-4807-968D-8F77411D5181}"/>
    <cellStyle name="Millares 22 4 4" xfId="1467" xr:uid="{6E9F08ED-75CA-42D3-B4C5-8B575BF61834}"/>
    <cellStyle name="Millares 22 4 5" xfId="3049" xr:uid="{D58E1CD0-AA72-4B59-BCCE-EE7439DC3C7B}"/>
    <cellStyle name="Millares 22 5" xfId="848" xr:uid="{726CC709-AA19-4FF9-B798-25C4885D05E8}"/>
    <cellStyle name="Millares 22 5 2" xfId="2431" xr:uid="{A9998ACB-0730-4C41-B5BC-E5C3D273F5C8}"/>
    <cellStyle name="Millares 22 5 2 2" xfId="4013" xr:uid="{C8E407ED-3796-4FEA-87B7-0F86C4C8F9BE}"/>
    <cellStyle name="Millares 22 5 3" xfId="1640" xr:uid="{A5C0A91F-67AF-42EE-87FC-5BA9217A298F}"/>
    <cellStyle name="Millares 22 5 4" xfId="3222" xr:uid="{4953AB86-1C2A-45F2-AEF9-EFF4B9E7F293}"/>
    <cellStyle name="Millares 22 6" xfId="2037" xr:uid="{CEF7C1B3-3978-4206-A9D9-E95532902A64}"/>
    <cellStyle name="Millares 22 6 2" xfId="3619" xr:uid="{38C381BB-8F92-4CE8-8D79-E0B158A189D4}"/>
    <cellStyle name="Millares 22 7" xfId="1246" xr:uid="{4FED17D1-908F-44EB-B177-21403CC780BE}"/>
    <cellStyle name="Millares 22 8" xfId="2828" xr:uid="{DC189D86-B297-4529-946A-2A3AFBD38B2D}"/>
    <cellStyle name="Millares 23" xfId="472" xr:uid="{2FC12F5A-EFDD-4D4E-9033-68EF3679DEB1}"/>
    <cellStyle name="Millares 23 2" xfId="548" xr:uid="{07454DCC-72B4-4FDD-B6B0-DBA6C0E61038}"/>
    <cellStyle name="Millares 23 2 2" xfId="776" xr:uid="{A2CF450F-73EE-49B9-907A-BC1063DCFBA9}"/>
    <cellStyle name="Millares 23 2 2 2" xfId="1176" xr:uid="{E1347AAB-211A-4DBF-A8F6-276ADCAF7F8E}"/>
    <cellStyle name="Millares 23 2 2 2 2" xfId="2759" xr:uid="{13B39876-6BEE-4F64-8093-AB86B839C22D}"/>
    <cellStyle name="Millares 23 2 2 2 2 2" xfId="4341" xr:uid="{21D8F5AC-E741-4CE2-A2BB-BC604E3D08E0}"/>
    <cellStyle name="Millares 23 2 2 2 3" xfId="1968" xr:uid="{B09960DF-9221-4F00-8AFB-1A5DC3E2358C}"/>
    <cellStyle name="Millares 23 2 2 2 4" xfId="3550" xr:uid="{5026BB25-7B3C-4E1E-A5DA-AA0CEEE130E6}"/>
    <cellStyle name="Millares 23 2 2 3" xfId="2365" xr:uid="{0E50702D-A400-4EDE-B539-C275C9109600}"/>
    <cellStyle name="Millares 23 2 2 3 2" xfId="3947" xr:uid="{BDB863E1-C2B8-4512-A0A5-544D5F73FDF3}"/>
    <cellStyle name="Millares 23 2 2 4" xfId="1574" xr:uid="{0029CC86-4E72-4E21-B9C8-A39F899C7EB3}"/>
    <cellStyle name="Millares 23 2 2 5" xfId="3156" xr:uid="{E11B6126-E532-4AB3-B755-5945A4AD3640}"/>
    <cellStyle name="Millares 23 2 3" xfId="955" xr:uid="{3468CDCF-7F88-4282-B196-4CF56CF4ED79}"/>
    <cellStyle name="Millares 23 2 3 2" xfId="2538" xr:uid="{E99319DA-87B0-4912-8764-C18B8B966964}"/>
    <cellStyle name="Millares 23 2 3 2 2" xfId="4120" xr:uid="{568BAAD0-EC37-4214-A9DC-A5FD7B69A46D}"/>
    <cellStyle name="Millares 23 2 3 3" xfId="1747" xr:uid="{41F872A6-A413-4ED2-A9A3-DEAC40AAFDEE}"/>
    <cellStyle name="Millares 23 2 3 4" xfId="3329" xr:uid="{CF10938D-1449-4B58-A1F4-8ABFC5B45D17}"/>
    <cellStyle name="Millares 23 2 4" xfId="2144" xr:uid="{426DAFC3-A33E-4675-8BCC-DB33ECDC0B7E}"/>
    <cellStyle name="Millares 23 2 4 2" xfId="3726" xr:uid="{5598B93C-1ADC-4C62-87A9-9892DEBF606E}"/>
    <cellStyle name="Millares 23 2 5" xfId="1353" xr:uid="{AB9C974D-8F8A-40DC-9D4E-43E41AC4603A}"/>
    <cellStyle name="Millares 23 2 6" xfId="2935" xr:uid="{43B1E8A2-6B1F-4F95-85D5-DD387A946BA6}"/>
    <cellStyle name="Millares 23 3" xfId="625" xr:uid="{5868E4AC-FD35-4192-A885-6FD3CA645E1A}"/>
    <cellStyle name="Millares 23 3 2" xfId="1032" xr:uid="{D3645010-3F71-47D5-B313-A2041B37211D}"/>
    <cellStyle name="Millares 23 3 2 2" xfId="2615" xr:uid="{E7597B00-71C7-49F7-B6BE-995798486129}"/>
    <cellStyle name="Millares 23 3 2 2 2" xfId="4197" xr:uid="{00E607C9-1022-4EBA-B0EE-7476E48C3F1E}"/>
    <cellStyle name="Millares 23 3 2 3" xfId="1824" xr:uid="{48C26FD6-D6F9-492A-9747-EADA677C1FF0}"/>
    <cellStyle name="Millares 23 3 2 4" xfId="3406" xr:uid="{03E43363-1AA8-4D89-8AB0-9BEAB3D96E45}"/>
    <cellStyle name="Millares 23 3 3" xfId="2221" xr:uid="{A8D824A8-3954-47AD-96BF-68DCF44B879B}"/>
    <cellStyle name="Millares 23 3 3 2" xfId="3803" xr:uid="{A6766FA5-C1FC-4A63-BD14-A928CFCB95F6}"/>
    <cellStyle name="Millares 23 3 4" xfId="1430" xr:uid="{45462646-DE72-4407-ABF3-DC6F9FBA1F99}"/>
    <cellStyle name="Millares 23 3 5" xfId="3012" xr:uid="{19D3D011-5638-4CB3-A27A-2D23FDB20BB1}"/>
    <cellStyle name="Millares 23 4" xfId="700" xr:uid="{4ADA3975-9F14-4CC7-ADA0-85AF682B2898}"/>
    <cellStyle name="Millares 23 4 2" xfId="1100" xr:uid="{B625377D-5AEA-4126-8D21-933C64CED3A5}"/>
    <cellStyle name="Millares 23 4 2 2" xfId="2683" xr:uid="{7AD93D58-1C49-4B04-B7E3-12BFC2A7B987}"/>
    <cellStyle name="Millares 23 4 2 2 2" xfId="4265" xr:uid="{AFC5C999-AFA9-42F0-9CE7-1E06DC04F3B5}"/>
    <cellStyle name="Millares 23 4 2 3" xfId="1892" xr:uid="{1A2A323F-BFAA-4C3A-97F5-DBD5F89FCF7B}"/>
    <cellStyle name="Millares 23 4 2 4" xfId="3474" xr:uid="{0BFDF9CA-65CE-4AB5-91C6-8C276C99AB4C}"/>
    <cellStyle name="Millares 23 4 3" xfId="2289" xr:uid="{CF0E584B-701E-40C6-9162-D144BBE3469B}"/>
    <cellStyle name="Millares 23 4 3 2" xfId="3871" xr:uid="{D228DB42-4BBA-4C68-AA13-59ABBE0C7ADB}"/>
    <cellStyle name="Millares 23 4 4" xfId="1498" xr:uid="{E1DEEB67-40CF-4546-AFD2-3F26273B64D9}"/>
    <cellStyle name="Millares 23 4 5" xfId="3080" xr:uid="{4437138E-610D-40E3-9DA3-22B1BE1B1956}"/>
    <cellStyle name="Millares 23 5" xfId="879" xr:uid="{4FD6CF30-C9B2-4BB6-9565-883B041472B5}"/>
    <cellStyle name="Millares 23 5 2" xfId="2462" xr:uid="{A6695ACB-3F2F-4411-A4F3-360CECE467B7}"/>
    <cellStyle name="Millares 23 5 2 2" xfId="4044" xr:uid="{FDF6F84D-7617-4B78-ACCD-C2D9DF7A486B}"/>
    <cellStyle name="Millares 23 5 3" xfId="1671" xr:uid="{967CB0D8-F913-4DB1-A6E6-A4108DF3D723}"/>
    <cellStyle name="Millares 23 5 4" xfId="3253" xr:uid="{69938862-2E46-46CA-898C-E708E566D9A0}"/>
    <cellStyle name="Millares 23 6" xfId="2068" xr:uid="{8FE1D230-6ACC-4A3E-9F2F-C524F1C9B009}"/>
    <cellStyle name="Millares 23 6 2" xfId="3650" xr:uid="{D1609F85-F0A1-483B-BF10-A8B60A1B0EF6}"/>
    <cellStyle name="Millares 23 7" xfId="1277" xr:uid="{5CA730DA-34F3-471C-87B6-14EF3FAA6272}"/>
    <cellStyle name="Millares 23 8" xfId="2859" xr:uid="{F373147E-5C3B-4CB3-85ED-2FF77C321F5A}"/>
    <cellStyle name="Millares 24" xfId="402" xr:uid="{560466AB-D7D9-4DD0-B875-235F1D47C2C0}"/>
    <cellStyle name="Millares 24 2" xfId="520" xr:uid="{A2D67CE8-DB7D-43B5-8E09-74ABB395FCE6}"/>
    <cellStyle name="Millares 24 2 2" xfId="748" xr:uid="{2D2940B3-0B1E-4E43-A971-7842874CEFF4}"/>
    <cellStyle name="Millares 24 2 2 2" xfId="1148" xr:uid="{211AD003-A41C-45AC-8DD8-AAAAFCF876AD}"/>
    <cellStyle name="Millares 24 2 2 2 2" xfId="2731" xr:uid="{65722EE6-44FE-4477-AAA5-E100121B1515}"/>
    <cellStyle name="Millares 24 2 2 2 2 2" xfId="4313" xr:uid="{33A00F3A-A2C8-4357-8761-90410F22996B}"/>
    <cellStyle name="Millares 24 2 2 2 3" xfId="1940" xr:uid="{67081DD5-74E7-44E4-81E7-5C49A4B82AF4}"/>
    <cellStyle name="Millares 24 2 2 2 4" xfId="3522" xr:uid="{E0F3CDD4-81FE-49BD-AAFB-8426F481BC0D}"/>
    <cellStyle name="Millares 24 2 2 3" xfId="2337" xr:uid="{F2E75503-8317-4C7D-9B21-B4EF49E5C02C}"/>
    <cellStyle name="Millares 24 2 2 3 2" xfId="3919" xr:uid="{21782E5B-58F9-424A-B237-1E3C40C2E6A5}"/>
    <cellStyle name="Millares 24 2 2 4" xfId="1546" xr:uid="{594884A1-01D1-4FD4-ADA9-6E02A0CA1561}"/>
    <cellStyle name="Millares 24 2 2 5" xfId="3128" xr:uid="{0D618790-5310-4F2E-B24D-60FD72404EDE}"/>
    <cellStyle name="Millares 24 2 3" xfId="927" xr:uid="{B9BC9161-063F-47CF-B34E-F30C9DA70B85}"/>
    <cellStyle name="Millares 24 2 3 2" xfId="2510" xr:uid="{3D8340A8-6912-4869-8168-D3C1966EE904}"/>
    <cellStyle name="Millares 24 2 3 2 2" xfId="4092" xr:uid="{252BC9A0-4526-4B92-950F-0E2E6A529FA0}"/>
    <cellStyle name="Millares 24 2 3 3" xfId="1719" xr:uid="{768E7A22-332B-43B0-AE88-B833E3FF7D00}"/>
    <cellStyle name="Millares 24 2 3 4" xfId="3301" xr:uid="{342C72B4-E3B7-4A29-9730-B6188F9D3082}"/>
    <cellStyle name="Millares 24 2 4" xfId="2116" xr:uid="{741ADF8B-B919-4656-BF40-126B9706807B}"/>
    <cellStyle name="Millares 24 2 4 2" xfId="3698" xr:uid="{DC572835-4E5A-46AE-9ED9-E91DDD67F26B}"/>
    <cellStyle name="Millares 24 2 5" xfId="1325" xr:uid="{4F8ACF90-AB70-491F-9716-08A3410252B5}"/>
    <cellStyle name="Millares 24 2 6" xfId="2907" xr:uid="{73C1D0C6-34EF-4910-8265-800DEC54DBF7}"/>
    <cellStyle name="Millares 24 3" xfId="597" xr:uid="{A223BB3B-2ED5-42A6-813A-6C8E434F88DF}"/>
    <cellStyle name="Millares 24 3 2" xfId="1004" xr:uid="{7707D8F8-FB65-41C7-B755-97341077D600}"/>
    <cellStyle name="Millares 24 3 2 2" xfId="2587" xr:uid="{BF897F76-BC81-4B8D-AFAF-83DD2E28AA40}"/>
    <cellStyle name="Millares 24 3 2 2 2" xfId="4169" xr:uid="{097D1B96-8546-4D62-AADF-F6950120CD67}"/>
    <cellStyle name="Millares 24 3 2 3" xfId="1796" xr:uid="{F31CD3E1-1EF9-4B9B-87EA-0815BAC8FBCD}"/>
    <cellStyle name="Millares 24 3 2 4" xfId="3378" xr:uid="{1FC38DD2-6A02-41F3-BB79-C62A33712021}"/>
    <cellStyle name="Millares 24 3 3" xfId="2193" xr:uid="{13BD664B-0E3F-4786-BC0A-89CE620CF18B}"/>
    <cellStyle name="Millares 24 3 3 2" xfId="3775" xr:uid="{428DA421-84C5-4C2F-9DAF-1150F9A35372}"/>
    <cellStyle name="Millares 24 3 4" xfId="1402" xr:uid="{2906C3CC-C8D6-4E99-BA96-6950DB84B383}"/>
    <cellStyle name="Millares 24 3 5" xfId="2984" xr:uid="{0FEAA946-41DE-4354-98D5-AE17F821964E}"/>
    <cellStyle name="Millares 24 4" xfId="672" xr:uid="{9C4F6543-9B61-44E9-B4C6-4DCBB7B8A216}"/>
    <cellStyle name="Millares 24 4 2" xfId="1072" xr:uid="{F0145E2D-5FB8-41C7-8ABB-3FDD3239F295}"/>
    <cellStyle name="Millares 24 4 2 2" xfId="2655" xr:uid="{E6B1013B-8583-433D-B3C6-63CB7824E4B0}"/>
    <cellStyle name="Millares 24 4 2 2 2" xfId="4237" xr:uid="{18ECDECB-17C7-4BBF-B793-8CB94ACB4087}"/>
    <cellStyle name="Millares 24 4 2 3" xfId="1864" xr:uid="{D23337F7-CFAB-49D8-B3B5-2055E7D2D518}"/>
    <cellStyle name="Millares 24 4 2 4" xfId="3446" xr:uid="{2B1EF781-0770-4FCE-9303-662C2125EEC6}"/>
    <cellStyle name="Millares 24 4 3" xfId="2261" xr:uid="{0EF55653-4A3B-49FA-8738-DD7979A2AA59}"/>
    <cellStyle name="Millares 24 4 3 2" xfId="3843" xr:uid="{DB6CD4EC-DF11-446C-AE4E-74DC4DBFCFA5}"/>
    <cellStyle name="Millares 24 4 4" xfId="1470" xr:uid="{53E17194-86F8-4DF5-8670-E1AB577A9E14}"/>
    <cellStyle name="Millares 24 4 5" xfId="3052" xr:uid="{4380001B-6589-4E6E-BBFE-038AB27E761D}"/>
    <cellStyle name="Millares 24 5" xfId="851" xr:uid="{47DA8737-860B-404F-B7DF-6C1662988CEB}"/>
    <cellStyle name="Millares 24 5 2" xfId="2434" xr:uid="{BEB5C909-94EA-409B-89B2-4BB639F91216}"/>
    <cellStyle name="Millares 24 5 2 2" xfId="4016" xr:uid="{28D3056D-E49F-47E6-8626-3989BCD01EBC}"/>
    <cellStyle name="Millares 24 5 3" xfId="1643" xr:uid="{7DD90D99-B8BC-4C76-86ED-1CCF33F8CC5A}"/>
    <cellStyle name="Millares 24 5 4" xfId="3225" xr:uid="{BD6D3544-E058-4D86-8B13-185571D37BA7}"/>
    <cellStyle name="Millares 24 6" xfId="2040" xr:uid="{BDFB5FF9-143C-40D1-98F6-7225EE221DD4}"/>
    <cellStyle name="Millares 24 6 2" xfId="3622" xr:uid="{E81BA674-E696-43AD-B662-53A91FB0AF10}"/>
    <cellStyle name="Millares 24 7" xfId="1249" xr:uid="{EC55B837-8804-40CA-A61F-5769AFE43026}"/>
    <cellStyle name="Millares 24 8" xfId="2831" xr:uid="{09B481E0-3D13-4F20-8642-89769E3E1D6A}"/>
    <cellStyle name="Millares 25" xfId="393" xr:uid="{93D75B04-E45A-4611-8EC8-BDD73110FB6D}"/>
    <cellStyle name="Millares 25 2" xfId="514" xr:uid="{FF84F03D-8F4D-417E-BB05-D2D0FDDD95B9}"/>
    <cellStyle name="Millares 25 2 2" xfId="742" xr:uid="{EA3FE97B-1AD3-46BF-8772-81464AED461D}"/>
    <cellStyle name="Millares 25 2 2 2" xfId="1142" xr:uid="{A108BB3E-8AF0-4BCC-8F3B-9EB1287FA31C}"/>
    <cellStyle name="Millares 25 2 2 2 2" xfId="2725" xr:uid="{3D2A73E2-9EE7-4ACE-9F62-D0A4C3158FB6}"/>
    <cellStyle name="Millares 25 2 2 2 2 2" xfId="4307" xr:uid="{21E5459C-C9B3-4DF8-8DAF-4FA88A0564BC}"/>
    <cellStyle name="Millares 25 2 2 2 3" xfId="1934" xr:uid="{E73BA0C0-9CF7-484C-8E73-DE30AC7F3F4C}"/>
    <cellStyle name="Millares 25 2 2 2 4" xfId="3516" xr:uid="{A49541E0-F203-4D40-9666-29D8515BD108}"/>
    <cellStyle name="Millares 25 2 2 3" xfId="2331" xr:uid="{6CCAEAFD-DEB7-4ED9-B499-C454DFF2A934}"/>
    <cellStyle name="Millares 25 2 2 3 2" xfId="3913" xr:uid="{C2585EEC-3D0C-4C26-9AEA-93BD36C911E8}"/>
    <cellStyle name="Millares 25 2 2 4" xfId="1540" xr:uid="{145E3EA8-F5A7-4652-A066-FDA8DDEF8E71}"/>
    <cellStyle name="Millares 25 2 2 5" xfId="3122" xr:uid="{D56471C0-17E3-4BA5-8C13-55E1B82F968F}"/>
    <cellStyle name="Millares 25 2 3" xfId="921" xr:uid="{DF07F2C5-B2BC-4337-97E8-C85FC2399CF0}"/>
    <cellStyle name="Millares 25 2 3 2" xfId="2504" xr:uid="{402EE953-B5CA-4216-A94E-C5637ECAF2EC}"/>
    <cellStyle name="Millares 25 2 3 2 2" xfId="4086" xr:uid="{846D5D34-8C57-48B5-92E4-B136AFEBB4FE}"/>
    <cellStyle name="Millares 25 2 3 3" xfId="1713" xr:uid="{6D345A80-E261-4DC3-AD5C-127EBD19B2F5}"/>
    <cellStyle name="Millares 25 2 3 4" xfId="3295" xr:uid="{1F2D376E-ED69-4149-BCC8-ACD70083E652}"/>
    <cellStyle name="Millares 25 2 4" xfId="2110" xr:uid="{EDF6CD45-3F22-49C2-BBC0-72E049719B33}"/>
    <cellStyle name="Millares 25 2 4 2" xfId="3692" xr:uid="{961A5225-22F0-445F-9A1F-705BFA994B7A}"/>
    <cellStyle name="Millares 25 2 5" xfId="1319" xr:uid="{08FA2136-CA0C-454E-92A6-6F14B7855C9B}"/>
    <cellStyle name="Millares 25 2 6" xfId="2901" xr:uid="{F8039409-FE9B-4537-9604-0409490AEE7D}"/>
    <cellStyle name="Millares 25 3" xfId="591" xr:uid="{3C56138B-4DEE-47FB-998F-E4370F321964}"/>
    <cellStyle name="Millares 25 3 2" xfId="998" xr:uid="{A28FC83B-1699-4A58-9CA6-6B9DAE92FA5B}"/>
    <cellStyle name="Millares 25 3 2 2" xfId="2581" xr:uid="{A1542032-A4BC-4270-938D-ECCEDC5E914D}"/>
    <cellStyle name="Millares 25 3 2 2 2" xfId="4163" xr:uid="{2D571A4F-CB18-402C-89FA-B12B8A06A94E}"/>
    <cellStyle name="Millares 25 3 2 3" xfId="1790" xr:uid="{EF00C263-3BC3-4B4E-924C-D2759F52085A}"/>
    <cellStyle name="Millares 25 3 2 4" xfId="3372" xr:uid="{FAE7B3C9-BF87-4671-9C7F-E9F9BF18AB14}"/>
    <cellStyle name="Millares 25 3 3" xfId="2187" xr:uid="{A35A222D-4F70-4929-B683-7A8590489F3F}"/>
    <cellStyle name="Millares 25 3 3 2" xfId="3769" xr:uid="{92EDC013-AC81-40D8-8951-34D6EFFE3F8B}"/>
    <cellStyle name="Millares 25 3 4" xfId="1396" xr:uid="{6184DD3E-E5A0-49EA-A60A-418A6F886304}"/>
    <cellStyle name="Millares 25 3 5" xfId="2978" xr:uid="{0DCE250F-D5D4-40E7-9C1C-8316835FD70F}"/>
    <cellStyle name="Millares 25 4" xfId="666" xr:uid="{352EAA94-C8A0-428D-BE9D-2D3440A028FB}"/>
    <cellStyle name="Millares 25 4 2" xfId="1066" xr:uid="{4F2969BF-56EB-48A2-B928-514A8B7009E0}"/>
    <cellStyle name="Millares 25 4 2 2" xfId="2649" xr:uid="{A4C975DF-A1D1-480A-BF93-D064B63E3D3F}"/>
    <cellStyle name="Millares 25 4 2 2 2" xfId="4231" xr:uid="{3ECE0E16-958F-4CCB-9C6C-D421434B07E4}"/>
    <cellStyle name="Millares 25 4 2 3" xfId="1858" xr:uid="{E0C540EF-F5E8-4004-A41C-DEE5B3547076}"/>
    <cellStyle name="Millares 25 4 2 4" xfId="3440" xr:uid="{B14BC9AC-80B2-4299-8BE7-72433DF5B582}"/>
    <cellStyle name="Millares 25 4 3" xfId="2255" xr:uid="{E2437A95-1E3A-452E-8FF1-0609475B4E15}"/>
    <cellStyle name="Millares 25 4 3 2" xfId="3837" xr:uid="{1340E462-AC45-470B-9F19-DC559C2FCF79}"/>
    <cellStyle name="Millares 25 4 4" xfId="1464" xr:uid="{872E2B3C-8F7E-4573-A5C7-B8E13D4786C7}"/>
    <cellStyle name="Millares 25 4 5" xfId="3046" xr:uid="{955A0B2D-872D-492E-8657-0BA093F4255D}"/>
    <cellStyle name="Millares 25 5" xfId="845" xr:uid="{8775B501-1C09-4A7A-93AF-2C3D828B592F}"/>
    <cellStyle name="Millares 25 5 2" xfId="2428" xr:uid="{E0A0AD58-F960-4FDC-BA2F-E483B856F8FC}"/>
    <cellStyle name="Millares 25 5 2 2" xfId="4010" xr:uid="{D3612425-CA8B-4C9A-9B44-B78C2869D93D}"/>
    <cellStyle name="Millares 25 5 3" xfId="1637" xr:uid="{DD53D8DA-34DA-4C02-93AD-2137314332C9}"/>
    <cellStyle name="Millares 25 5 4" xfId="3219" xr:uid="{1D133239-6404-47F3-A924-3494E1BF7927}"/>
    <cellStyle name="Millares 25 6" xfId="2034" xr:uid="{248B52F6-FD7A-4ACD-8BBE-6C1B210E59F1}"/>
    <cellStyle name="Millares 25 6 2" xfId="3616" xr:uid="{CB44C56C-9B3B-4173-BC1C-2D271ED707B5}"/>
    <cellStyle name="Millares 25 7" xfId="1243" xr:uid="{2BD2C35E-E6B2-4307-A85A-4EAE99F250F9}"/>
    <cellStyle name="Millares 25 8" xfId="2825" xr:uid="{50850C41-5B42-426C-AC55-B5691A059EBF}"/>
    <cellStyle name="Millares 26" xfId="473" xr:uid="{F002D5A7-4D31-497B-86A8-3A51D1398BB4}"/>
    <cellStyle name="Millares 26 2" xfId="549" xr:uid="{D848766F-8FE6-4001-8F0F-ED16E8256F98}"/>
    <cellStyle name="Millares 26 2 2" xfId="777" xr:uid="{C1829A06-DE8D-4A0B-96C2-212F92CDA071}"/>
    <cellStyle name="Millares 26 2 2 2" xfId="1177" xr:uid="{B292128A-A10D-4663-AB09-3189272E6A9F}"/>
    <cellStyle name="Millares 26 2 2 2 2" xfId="2760" xr:uid="{40EDB4D2-11FD-4BD2-9766-D1FCE52BA155}"/>
    <cellStyle name="Millares 26 2 2 2 2 2" xfId="4342" xr:uid="{1576E4F6-21B7-44EE-85E5-36A19C47DBA9}"/>
    <cellStyle name="Millares 26 2 2 2 3" xfId="1969" xr:uid="{6946B3B2-B5F6-4B2E-85E1-4FFACC898736}"/>
    <cellStyle name="Millares 26 2 2 2 4" xfId="3551" xr:uid="{B272272C-BEA3-4C6F-A98E-AAA0A9CBF254}"/>
    <cellStyle name="Millares 26 2 2 3" xfId="2366" xr:uid="{CEE20EC5-4A52-4560-B2DE-AD1306ED7626}"/>
    <cellStyle name="Millares 26 2 2 3 2" xfId="3948" xr:uid="{A7C149FF-93BD-46AC-8F2D-FE63CF62CE92}"/>
    <cellStyle name="Millares 26 2 2 4" xfId="1575" xr:uid="{F53D0F11-F928-45C3-8B9B-69FABDA22BDB}"/>
    <cellStyle name="Millares 26 2 2 5" xfId="3157" xr:uid="{B366A5C7-DFAF-4818-8ED2-D33275462405}"/>
    <cellStyle name="Millares 26 2 3" xfId="956" xr:uid="{E5D56A11-A91A-4B2A-901E-577D064A7145}"/>
    <cellStyle name="Millares 26 2 3 2" xfId="2539" xr:uid="{3D54DFF7-0FBC-489A-9555-DCCB9277FBF3}"/>
    <cellStyle name="Millares 26 2 3 2 2" xfId="4121" xr:uid="{25553742-7D24-44BF-8CB5-56BFCB253356}"/>
    <cellStyle name="Millares 26 2 3 3" xfId="1748" xr:uid="{A77A93C7-5552-4EC7-BAB7-E90A6F9A540A}"/>
    <cellStyle name="Millares 26 2 3 4" xfId="3330" xr:uid="{A4CB1688-F6CC-45C0-A5BA-246DDD396579}"/>
    <cellStyle name="Millares 26 2 4" xfId="2145" xr:uid="{CBB7072D-2C6D-4525-B723-308B81AEFAFD}"/>
    <cellStyle name="Millares 26 2 4 2" xfId="3727" xr:uid="{9153B9BD-5179-4F61-A09B-9C2FCF68A2C8}"/>
    <cellStyle name="Millares 26 2 5" xfId="1354" xr:uid="{D51399BD-04B1-4752-AB45-C5C2AF5FACFD}"/>
    <cellStyle name="Millares 26 2 6" xfId="2936" xr:uid="{67A4298C-3DE7-48BF-AF3B-4DF43123F928}"/>
    <cellStyle name="Millares 26 3" xfId="626" xr:uid="{7FF77D35-BF33-4947-8465-C8BB9C79C820}"/>
    <cellStyle name="Millares 26 3 2" xfId="1033" xr:uid="{31F5CC2D-7362-4940-91A7-A43F0B1EFBDB}"/>
    <cellStyle name="Millares 26 3 2 2" xfId="2616" xr:uid="{8CF4918C-8E11-49EA-958B-D0FD679683D2}"/>
    <cellStyle name="Millares 26 3 2 2 2" xfId="4198" xr:uid="{4BD1B852-54FB-43B4-BA12-6E8FA1F79ED4}"/>
    <cellStyle name="Millares 26 3 2 3" xfId="1825" xr:uid="{519717EA-0A25-4D7F-92E2-DE35AE76F7E3}"/>
    <cellStyle name="Millares 26 3 2 4" xfId="3407" xr:uid="{73D021D9-79A0-45D3-91EC-51A881C2CDB2}"/>
    <cellStyle name="Millares 26 3 3" xfId="2222" xr:uid="{CFCD1BAA-BD2E-452B-A344-DA775036547E}"/>
    <cellStyle name="Millares 26 3 3 2" xfId="3804" xr:uid="{DB13C37B-FFA5-45D7-A10D-5FBAA69D77DD}"/>
    <cellStyle name="Millares 26 3 4" xfId="1431" xr:uid="{F005679C-5BF2-416D-B929-6AE9422A0AA9}"/>
    <cellStyle name="Millares 26 3 5" xfId="3013" xr:uid="{02228A23-D5DF-4EAB-AB35-7FBD455BBECE}"/>
    <cellStyle name="Millares 26 4" xfId="701" xr:uid="{CD70DA4C-FC58-45DD-8995-7C248A1BFBAB}"/>
    <cellStyle name="Millares 26 4 2" xfId="1101" xr:uid="{D802554F-82E0-4B41-AE43-11374C12AEE6}"/>
    <cellStyle name="Millares 26 4 2 2" xfId="2684" xr:uid="{A175B24B-C0D5-457C-8A84-050EDC8B637B}"/>
    <cellStyle name="Millares 26 4 2 2 2" xfId="4266" xr:uid="{E271B5D7-2343-49CC-BDB6-D0C3BAD1A82E}"/>
    <cellStyle name="Millares 26 4 2 3" xfId="1893" xr:uid="{35616706-2E0B-419E-8ACD-1E58D9899DDA}"/>
    <cellStyle name="Millares 26 4 2 4" xfId="3475" xr:uid="{7D91C4E9-19A4-430A-966D-6F2761B3538D}"/>
    <cellStyle name="Millares 26 4 3" xfId="2290" xr:uid="{744FA6E9-4773-4BDF-9661-DE479C7A7FFC}"/>
    <cellStyle name="Millares 26 4 3 2" xfId="3872" xr:uid="{60F1F76C-5B9C-492D-888B-6EAAC4F25765}"/>
    <cellStyle name="Millares 26 4 4" xfId="1499" xr:uid="{0184BB36-8C42-43FA-93B2-A78715E8E838}"/>
    <cellStyle name="Millares 26 4 5" xfId="3081" xr:uid="{8E7F9579-00A3-445A-8F11-D688DE590697}"/>
    <cellStyle name="Millares 26 5" xfId="880" xr:uid="{84DF234F-85F8-4E8D-B608-659D3342D09F}"/>
    <cellStyle name="Millares 26 5 2" xfId="2463" xr:uid="{CC2F9BE7-975C-4531-AFF9-08372CB63641}"/>
    <cellStyle name="Millares 26 5 2 2" xfId="4045" xr:uid="{FC479360-B564-4D5A-BE3E-2B731374E246}"/>
    <cellStyle name="Millares 26 5 3" xfId="1672" xr:uid="{6232DC10-CBD5-44FD-A7A8-51C3AEEAC25A}"/>
    <cellStyle name="Millares 26 5 4" xfId="3254" xr:uid="{5B9BFBD2-B24C-44C5-BF18-EB9BFE23CE02}"/>
    <cellStyle name="Millares 26 6" xfId="2069" xr:uid="{0D58079A-CD05-440A-A0E8-577C797DABBB}"/>
    <cellStyle name="Millares 26 6 2" xfId="3651" xr:uid="{BF047CD2-BA0E-4E0E-9C32-49219E6713D0}"/>
    <cellStyle name="Millares 26 7" xfId="1278" xr:uid="{3E4C33B1-5FD5-40DC-92D5-FA1D10456EF3}"/>
    <cellStyle name="Millares 26 8" xfId="2860" xr:uid="{0F43173C-BDAF-48B1-9B6E-D49209D8B7B1}"/>
    <cellStyle name="Millares 27" xfId="407" xr:uid="{84C4EBC7-3DA9-4B7B-9379-834B676F71D9}"/>
    <cellStyle name="Millares 27 2" xfId="525" xr:uid="{062E369D-2C41-4A4F-957F-8747F575F2AD}"/>
    <cellStyle name="Millares 27 2 2" xfId="753" xr:uid="{70C6A0DD-5D6B-4EEA-9910-F5D280F91CE2}"/>
    <cellStyle name="Millares 27 2 2 2" xfId="1153" xr:uid="{9B0406B7-4EDE-4FD6-9A19-3A76C26D20E9}"/>
    <cellStyle name="Millares 27 2 2 2 2" xfId="2736" xr:uid="{BA4FB76D-B9E6-4ECC-9378-7A72329387A3}"/>
    <cellStyle name="Millares 27 2 2 2 2 2" xfId="4318" xr:uid="{03F41FA0-D03F-4711-8A0D-62CA0F35025B}"/>
    <cellStyle name="Millares 27 2 2 2 3" xfId="1945" xr:uid="{0CAC743E-0389-47B7-B16D-C874F16232AD}"/>
    <cellStyle name="Millares 27 2 2 2 4" xfId="3527" xr:uid="{A1AED3DE-C115-4C54-A672-7F50F1E0505B}"/>
    <cellStyle name="Millares 27 2 2 3" xfId="2342" xr:uid="{1766717E-4A20-4979-ABFD-B7576EB93BB3}"/>
    <cellStyle name="Millares 27 2 2 3 2" xfId="3924" xr:uid="{D82A1FF0-1F1E-4889-84A9-71063C9793F2}"/>
    <cellStyle name="Millares 27 2 2 4" xfId="1551" xr:uid="{6206DA91-528D-4C7E-999A-D4C6466CE0B7}"/>
    <cellStyle name="Millares 27 2 2 5" xfId="3133" xr:uid="{3F9E6231-C6F0-4588-948C-2E75F4C1D399}"/>
    <cellStyle name="Millares 27 2 3" xfId="932" xr:uid="{00AC9F98-42E5-4CCD-AE37-99DF2CDC3A50}"/>
    <cellStyle name="Millares 27 2 3 2" xfId="2515" xr:uid="{59B2F412-1CB4-43DD-AB22-37297B874AEE}"/>
    <cellStyle name="Millares 27 2 3 2 2" xfId="4097" xr:uid="{D5D5B49D-6248-487C-B86B-2E89C3D69386}"/>
    <cellStyle name="Millares 27 2 3 3" xfId="1724" xr:uid="{603FC9D5-E5EF-4BC6-9EAE-393E37D5D78C}"/>
    <cellStyle name="Millares 27 2 3 4" xfId="3306" xr:uid="{3FA417A3-34FF-4C10-934B-13C482520A43}"/>
    <cellStyle name="Millares 27 2 4" xfId="2121" xr:uid="{D0C0FF7C-EF72-4900-948C-3C85D24AF987}"/>
    <cellStyle name="Millares 27 2 4 2" xfId="3703" xr:uid="{FEFE10E3-787C-4DED-A34C-90A01C412AAD}"/>
    <cellStyle name="Millares 27 2 5" xfId="1330" xr:uid="{BAEEEBEF-11A9-4ABD-A4A7-DBDEE69EBB0D}"/>
    <cellStyle name="Millares 27 2 6" xfId="2912" xr:uid="{C3FBC131-3DA8-4857-9A4C-BD7A55929F7F}"/>
    <cellStyle name="Millares 27 3" xfId="602" xr:uid="{1F647807-D494-4CA0-B10F-7D767C7D552A}"/>
    <cellStyle name="Millares 27 3 2" xfId="1009" xr:uid="{C00A7224-E888-45FE-8069-0459A946FCA3}"/>
    <cellStyle name="Millares 27 3 2 2" xfId="2592" xr:uid="{753BA4E9-FF59-446A-94DE-DF67872D3F6B}"/>
    <cellStyle name="Millares 27 3 2 2 2" xfId="4174" xr:uid="{641D3796-DB36-4A62-B960-B9A58368D9E9}"/>
    <cellStyle name="Millares 27 3 2 3" xfId="1801" xr:uid="{EAD587D9-A885-493C-BEDA-939FBF4093CF}"/>
    <cellStyle name="Millares 27 3 2 4" xfId="3383" xr:uid="{BCA04438-3727-4DE2-81BC-5E104920EF20}"/>
    <cellStyle name="Millares 27 3 3" xfId="2198" xr:uid="{2C5A6786-7233-4067-B4FD-AABB2A6C4E73}"/>
    <cellStyle name="Millares 27 3 3 2" xfId="3780" xr:uid="{D4B6125A-4EE1-498A-BFA4-E926D236E2DC}"/>
    <cellStyle name="Millares 27 3 4" xfId="1407" xr:uid="{8852DF3B-6714-4BEC-8913-5225BD345792}"/>
    <cellStyle name="Millares 27 3 5" xfId="2989" xr:uid="{F5EE4FFD-5201-4F92-85EC-EF00C5CC6DA3}"/>
    <cellStyle name="Millares 27 4" xfId="677" xr:uid="{A1A30486-18E6-43EC-B163-82B956CA6BA6}"/>
    <cellStyle name="Millares 27 4 2" xfId="1077" xr:uid="{2016D3D8-C875-44B0-8FF2-335DBDE93BBF}"/>
    <cellStyle name="Millares 27 4 2 2" xfId="2660" xr:uid="{C5B7E422-7A9C-4F87-B55B-936DD4F9F64E}"/>
    <cellStyle name="Millares 27 4 2 2 2" xfId="4242" xr:uid="{C898AD89-38C6-45C1-BEDE-B640144ED139}"/>
    <cellStyle name="Millares 27 4 2 3" xfId="1869" xr:uid="{66EB7EED-FB12-4D11-9CB6-FF210670A220}"/>
    <cellStyle name="Millares 27 4 2 4" xfId="3451" xr:uid="{DBC9D4B1-A46B-41D9-8D6D-CC50EC54F592}"/>
    <cellStyle name="Millares 27 4 3" xfId="2266" xr:uid="{792C6537-EC23-439F-93FF-5C915432AFF6}"/>
    <cellStyle name="Millares 27 4 3 2" xfId="3848" xr:uid="{AB9918EB-63B5-4B93-942E-07B88B03725D}"/>
    <cellStyle name="Millares 27 4 4" xfId="1475" xr:uid="{57C40227-7DC2-480F-8F85-1CDB485C4774}"/>
    <cellStyle name="Millares 27 4 5" xfId="3057" xr:uid="{5BEF23E1-BF32-4413-9051-CE34F3AA48D8}"/>
    <cellStyle name="Millares 27 5" xfId="856" xr:uid="{7B034591-62B9-44EE-8231-637CAE8D0A3B}"/>
    <cellStyle name="Millares 27 5 2" xfId="2439" xr:uid="{D4146311-FA04-465F-BB44-F60AAC70240B}"/>
    <cellStyle name="Millares 27 5 2 2" xfId="4021" xr:uid="{B488DD4C-24F8-4337-9B4B-106CC6971F3C}"/>
    <cellStyle name="Millares 27 5 3" xfId="1648" xr:uid="{A0FCF093-8649-44C6-B64D-6B28A0141AB6}"/>
    <cellStyle name="Millares 27 5 4" xfId="3230" xr:uid="{A0FEC2B4-8C96-48A4-AC90-B56A3D1C6742}"/>
    <cellStyle name="Millares 27 6" xfId="2045" xr:uid="{F4C36CC5-96D5-45D5-8A89-BD3AACC903BB}"/>
    <cellStyle name="Millares 27 6 2" xfId="3627" xr:uid="{D931DBA8-786E-4F0D-A264-E2C94E8820AD}"/>
    <cellStyle name="Millares 27 7" xfId="1254" xr:uid="{08C3574C-6BA3-40B0-8742-3F95AC1B4506}"/>
    <cellStyle name="Millares 27 8" xfId="2836" xr:uid="{55D0B9F0-92C2-4DEF-9CF6-30203916A840}"/>
    <cellStyle name="Millares 28" xfId="385" xr:uid="{E03590C3-3569-4C79-8BFC-1F8622D0A4CE}"/>
    <cellStyle name="Millares 28 2" xfId="506" xr:uid="{EE8FE713-45BC-403A-8B63-5F2B3C7EED8F}"/>
    <cellStyle name="Millares 28 2 2" xfId="734" xr:uid="{DDB8CB2F-BB96-4462-9CF0-56E55AC5C974}"/>
    <cellStyle name="Millares 28 2 2 2" xfId="1134" xr:uid="{164E9840-5358-4249-B207-3B2E1BD73451}"/>
    <cellStyle name="Millares 28 2 2 2 2" xfId="2717" xr:uid="{DCF22873-1533-4DD1-A32B-CF21C2AE4043}"/>
    <cellStyle name="Millares 28 2 2 2 2 2" xfId="4299" xr:uid="{3F05CE04-C15E-48DD-A148-40DB49B45480}"/>
    <cellStyle name="Millares 28 2 2 2 3" xfId="1926" xr:uid="{59134087-70AB-496E-9AED-5AFF4F7DEB5E}"/>
    <cellStyle name="Millares 28 2 2 2 4" xfId="3508" xr:uid="{4C0B5FA5-6F25-414C-A6F0-41A7ACCFA550}"/>
    <cellStyle name="Millares 28 2 2 3" xfId="2323" xr:uid="{E5770B28-E739-429C-A340-491541633D2A}"/>
    <cellStyle name="Millares 28 2 2 3 2" xfId="3905" xr:uid="{9D2A0893-8434-4AB0-BCFA-4C091C99C949}"/>
    <cellStyle name="Millares 28 2 2 4" xfId="1532" xr:uid="{F225937C-F3E2-4892-9955-028C66BAA482}"/>
    <cellStyle name="Millares 28 2 2 5" xfId="3114" xr:uid="{60E063BC-8836-46A4-AE8B-50661BB72259}"/>
    <cellStyle name="Millares 28 2 3" xfId="913" xr:uid="{C8BC3478-4DC4-46B6-B735-0C77C76B68DB}"/>
    <cellStyle name="Millares 28 2 3 2" xfId="2496" xr:uid="{3B752C21-ED5D-4201-BEFA-7D146926408C}"/>
    <cellStyle name="Millares 28 2 3 2 2" xfId="4078" xr:uid="{02AA74F6-3A8D-4675-B798-AFE2A49542F2}"/>
    <cellStyle name="Millares 28 2 3 3" xfId="1705" xr:uid="{EA2637CB-B6A9-44FC-A9DA-654624E283EB}"/>
    <cellStyle name="Millares 28 2 3 4" xfId="3287" xr:uid="{90B85193-AA10-4E9D-9413-C95AE248FA01}"/>
    <cellStyle name="Millares 28 2 4" xfId="2102" xr:uid="{755A6DFE-1138-4D15-99CD-E1A79A94F8F1}"/>
    <cellStyle name="Millares 28 2 4 2" xfId="3684" xr:uid="{16C489D2-2B72-4796-BF2C-C5DCFA33676D}"/>
    <cellStyle name="Millares 28 2 5" xfId="1311" xr:uid="{8E4C2B6C-6706-4B45-9065-910E9FE056D9}"/>
    <cellStyle name="Millares 28 2 6" xfId="2893" xr:uid="{96ADDAD5-EDCB-41F1-BE57-4F61ACC9A498}"/>
    <cellStyle name="Millares 28 3" xfId="583" xr:uid="{C8748FDA-D67F-49F9-A1AD-B88BA35BB388}"/>
    <cellStyle name="Millares 28 3 2" xfId="990" xr:uid="{6A33F534-5125-47DF-BFF9-32573D7E5158}"/>
    <cellStyle name="Millares 28 3 2 2" xfId="2573" xr:uid="{6FF5F9D6-8F42-4684-A66B-410D8ED2603B}"/>
    <cellStyle name="Millares 28 3 2 2 2" xfId="4155" xr:uid="{B068BD3E-9709-4493-84B9-D3909611F3FC}"/>
    <cellStyle name="Millares 28 3 2 3" xfId="1782" xr:uid="{8BBAE962-FA6C-456F-8487-710686C93EB7}"/>
    <cellStyle name="Millares 28 3 2 4" xfId="3364" xr:uid="{FA736B2D-8054-4940-ABBC-8CABE32F5A4A}"/>
    <cellStyle name="Millares 28 3 3" xfId="2179" xr:uid="{B16C4659-7553-47F4-B89E-07E6C6997370}"/>
    <cellStyle name="Millares 28 3 3 2" xfId="3761" xr:uid="{0A37D4C5-0749-4067-8F62-C90C2A54972B}"/>
    <cellStyle name="Millares 28 3 4" xfId="1388" xr:uid="{F6604EF4-E1AE-4CB3-BCC7-B3A96E13D081}"/>
    <cellStyle name="Millares 28 3 5" xfId="2970" xr:uid="{E874ED45-278F-4841-B047-EA1C06EB8E4B}"/>
    <cellStyle name="Millares 28 4" xfId="658" xr:uid="{E9B9034A-F853-4504-8A7A-E66E7B09653F}"/>
    <cellStyle name="Millares 28 4 2" xfId="1058" xr:uid="{877FDE8B-5F61-4E2F-B4AA-F0973841C429}"/>
    <cellStyle name="Millares 28 4 2 2" xfId="2641" xr:uid="{43BFBFE6-1060-4570-A900-AB3F55306856}"/>
    <cellStyle name="Millares 28 4 2 2 2" xfId="4223" xr:uid="{4A888D9F-04D9-4772-82AF-C661DCF7BE92}"/>
    <cellStyle name="Millares 28 4 2 3" xfId="1850" xr:uid="{75EA14C8-A2C4-462F-AAE8-09DFE715AA74}"/>
    <cellStyle name="Millares 28 4 2 4" xfId="3432" xr:uid="{1051319F-3640-47AD-BB5A-95D67FFE8D22}"/>
    <cellStyle name="Millares 28 4 3" xfId="2247" xr:uid="{A9CA6839-46D1-4847-ABE2-98A38C7BCB75}"/>
    <cellStyle name="Millares 28 4 3 2" xfId="3829" xr:uid="{A0ED4C29-4D8F-47BA-B026-AC6CF1AA4A26}"/>
    <cellStyle name="Millares 28 4 4" xfId="1456" xr:uid="{8F2662B2-91EF-40B7-94E4-48F5007D7DF3}"/>
    <cellStyle name="Millares 28 4 5" xfId="3038" xr:uid="{FC9D389F-56F0-4A9E-B2C8-BD292E935C1D}"/>
    <cellStyle name="Millares 28 5" xfId="837" xr:uid="{6FD32A5B-6C6D-4DFA-AE87-2701443D43CB}"/>
    <cellStyle name="Millares 28 5 2" xfId="2420" xr:uid="{294D3501-F135-4356-A3F6-D3A800357415}"/>
    <cellStyle name="Millares 28 5 2 2" xfId="4002" xr:uid="{7C9B0406-90AD-493E-ACB1-4D3666EE125D}"/>
    <cellStyle name="Millares 28 5 3" xfId="1629" xr:uid="{FEB9AE5D-C327-47C0-8AE8-C4A865E3C367}"/>
    <cellStyle name="Millares 28 5 4" xfId="3211" xr:uid="{FD02938E-3DE7-43CA-8DBF-DA12001A8944}"/>
    <cellStyle name="Millares 28 6" xfId="2026" xr:uid="{5F098113-BD73-4D20-BE6B-DB936BCAACE8}"/>
    <cellStyle name="Millares 28 6 2" xfId="3608" xr:uid="{79F577C2-A321-47AE-A509-6ADD83D3ED64}"/>
    <cellStyle name="Millares 28 7" xfId="1235" xr:uid="{6A077681-ECD5-4090-87BE-DA006F8574A6}"/>
    <cellStyle name="Millares 28 8" xfId="2817" xr:uid="{D42D7451-67B5-43FD-848A-B9F920938771}"/>
    <cellStyle name="Millares 29" xfId="401" xr:uid="{0E949249-025F-43C9-99A6-84FBAFA01F54}"/>
    <cellStyle name="Millares 29 2" xfId="519" xr:uid="{51537ECD-A1CE-42AE-B8D0-584D5159B67E}"/>
    <cellStyle name="Millares 29 2 2" xfId="747" xr:uid="{832531F7-D895-4931-ABE3-0EE1D92DFD21}"/>
    <cellStyle name="Millares 29 2 2 2" xfId="1147" xr:uid="{E9865C08-DD42-487F-8922-E6EA016F4385}"/>
    <cellStyle name="Millares 29 2 2 2 2" xfId="2730" xr:uid="{6469DF9A-2758-4788-BDD1-E70A17A0D42F}"/>
    <cellStyle name="Millares 29 2 2 2 2 2" xfId="4312" xr:uid="{848ADFDB-01FE-42F2-BFF0-84FE84AC8DFC}"/>
    <cellStyle name="Millares 29 2 2 2 3" xfId="1939" xr:uid="{C829986D-8651-4652-A7C3-B70ECF3E72E2}"/>
    <cellStyle name="Millares 29 2 2 2 4" xfId="3521" xr:uid="{763684F5-0E91-4D6C-B1C2-DD725005B9D6}"/>
    <cellStyle name="Millares 29 2 2 3" xfId="2336" xr:uid="{4F39021C-C7B6-4572-B5E1-5B4587F37B25}"/>
    <cellStyle name="Millares 29 2 2 3 2" xfId="3918" xr:uid="{F2EE1B05-BE25-4048-BD2D-CEF9A02091DE}"/>
    <cellStyle name="Millares 29 2 2 4" xfId="1545" xr:uid="{E7763F56-BA4D-43E8-AAD3-0C78D7F32428}"/>
    <cellStyle name="Millares 29 2 2 5" xfId="3127" xr:uid="{EF5941A5-EAE4-45B2-A154-BBE1A48C2B4D}"/>
    <cellStyle name="Millares 29 2 3" xfId="926" xr:uid="{BE2D3928-323F-4262-A314-D009E79C62CC}"/>
    <cellStyle name="Millares 29 2 3 2" xfId="2509" xr:uid="{57DF1E20-75E1-4799-884E-02B5B4AE5C34}"/>
    <cellStyle name="Millares 29 2 3 2 2" xfId="4091" xr:uid="{CBA35654-5363-4819-860F-53492DEF30EB}"/>
    <cellStyle name="Millares 29 2 3 3" xfId="1718" xr:uid="{58269904-5420-4111-A31B-D4291D5D28CE}"/>
    <cellStyle name="Millares 29 2 3 4" xfId="3300" xr:uid="{B0C44FD1-9AC9-4935-A2A2-7E51AF95C000}"/>
    <cellStyle name="Millares 29 2 4" xfId="2115" xr:uid="{6F57F1C7-CCBC-4F88-A40A-75FE9CB4001C}"/>
    <cellStyle name="Millares 29 2 4 2" xfId="3697" xr:uid="{DF2B989A-CFEB-4A52-B8EC-EF03905494F1}"/>
    <cellStyle name="Millares 29 2 5" xfId="1324" xr:uid="{26F675A0-E30D-4182-A86B-DAD2383FD300}"/>
    <cellStyle name="Millares 29 2 6" xfId="2906" xr:uid="{94E40B1E-3F30-46B6-B442-B0528AF0D27B}"/>
    <cellStyle name="Millares 29 3" xfId="596" xr:uid="{639C7917-CCC5-4D9A-A2BE-CB733459F3A2}"/>
    <cellStyle name="Millares 29 3 2" xfId="1003" xr:uid="{6AE6F0DB-2C7A-4930-9751-90AE76AAB3ED}"/>
    <cellStyle name="Millares 29 3 2 2" xfId="2586" xr:uid="{68E87AB8-434A-4659-A17E-A1B0484EC449}"/>
    <cellStyle name="Millares 29 3 2 2 2" xfId="4168" xr:uid="{7858215A-05A7-4D02-A16B-C67FD33A46D3}"/>
    <cellStyle name="Millares 29 3 2 3" xfId="1795" xr:uid="{CE2DB1E3-5684-48D8-9037-E89BB7E6E92C}"/>
    <cellStyle name="Millares 29 3 2 4" xfId="3377" xr:uid="{949C3FDE-0651-4000-B7EC-A2BF00CDFE14}"/>
    <cellStyle name="Millares 29 3 3" xfId="2192" xr:uid="{ACB2A16B-0710-452F-9E2E-60A315C2DF0A}"/>
    <cellStyle name="Millares 29 3 3 2" xfId="3774" xr:uid="{EA717C37-42A1-4852-9E0A-4A9F67A2EDFE}"/>
    <cellStyle name="Millares 29 3 4" xfId="1401" xr:uid="{1BEB62AD-C0B9-4E00-A6F9-D99A03D72D57}"/>
    <cellStyle name="Millares 29 3 5" xfId="2983" xr:uid="{26AC2C7D-DD47-4501-A3D8-9F43AD4DECB8}"/>
    <cellStyle name="Millares 29 4" xfId="671" xr:uid="{D2AAE2B1-9C04-4965-B67B-04B0C9651B8B}"/>
    <cellStyle name="Millares 29 4 2" xfId="1071" xr:uid="{251343F0-D5CD-4E9A-B05C-F54F982E6B39}"/>
    <cellStyle name="Millares 29 4 2 2" xfId="2654" xr:uid="{F6F7F053-CDC0-422E-A19D-6A2D0722CC84}"/>
    <cellStyle name="Millares 29 4 2 2 2" xfId="4236" xr:uid="{17BE2449-AB63-4407-80F0-0C9144CBDF60}"/>
    <cellStyle name="Millares 29 4 2 3" xfId="1863" xr:uid="{1E0F9EC5-BD0D-47E2-AD8F-CDF9F9155831}"/>
    <cellStyle name="Millares 29 4 2 4" xfId="3445" xr:uid="{B954751F-B16C-477B-BE92-C79CF2775D43}"/>
    <cellStyle name="Millares 29 4 3" xfId="2260" xr:uid="{C7F7FBBD-99D4-4BF6-A0E5-DEDEDDE8AF5F}"/>
    <cellStyle name="Millares 29 4 3 2" xfId="3842" xr:uid="{B9979AEC-9726-4A6D-9F19-9D034D009596}"/>
    <cellStyle name="Millares 29 4 4" xfId="1469" xr:uid="{81C57575-8967-4CD6-8AFC-1BA260696749}"/>
    <cellStyle name="Millares 29 4 5" xfId="3051" xr:uid="{434AEE68-08F4-4B6D-8842-F57138B46748}"/>
    <cellStyle name="Millares 29 5" xfId="850" xr:uid="{AC974A6B-C041-4C7A-A90B-1D2E7A382229}"/>
    <cellStyle name="Millares 29 5 2" xfId="2433" xr:uid="{CF98748D-EFFA-4916-848B-36F65366D463}"/>
    <cellStyle name="Millares 29 5 2 2" xfId="4015" xr:uid="{DF49F8BB-050C-460B-AF54-DF9B67B7BE3E}"/>
    <cellStyle name="Millares 29 5 3" xfId="1642" xr:uid="{A2C5FB35-CC06-455A-A0C9-81A3175B1A86}"/>
    <cellStyle name="Millares 29 5 4" xfId="3224" xr:uid="{363A40DE-778F-494F-8A89-ACC97B96C6AC}"/>
    <cellStyle name="Millares 29 6" xfId="2039" xr:uid="{FEC0B9AE-091A-4078-8A94-EAF23D15EAAB}"/>
    <cellStyle name="Millares 29 6 2" xfId="3621" xr:uid="{A121AE04-A58E-45FF-BF73-66C9913173ED}"/>
    <cellStyle name="Millares 29 7" xfId="1248" xr:uid="{E8392A27-CDC4-4841-A5A3-EC93A726D954}"/>
    <cellStyle name="Millares 29 8" xfId="2830" xr:uid="{3D55C6CA-F1DA-454D-80A5-7B7937A60450}"/>
    <cellStyle name="Millares 3" xfId="13" xr:uid="{23962785-C379-4192-BFA6-F1803CECF7D5}"/>
    <cellStyle name="Millares 3 10" xfId="2006" xr:uid="{B63F3545-3C71-4E0C-BD84-7A42D2D01EC9}"/>
    <cellStyle name="Millares 3 10 2" xfId="3588" xr:uid="{BC006814-B5A9-4777-A3A1-5B25E0EC08C7}"/>
    <cellStyle name="Millares 3 11" xfId="1215" xr:uid="{D1D900AF-308A-4BCB-A3E8-9BEB71896C57}"/>
    <cellStyle name="Millares 3 12" xfId="2797" xr:uid="{DD73EFDC-7184-4027-BBB7-BCA8A262BF53}"/>
    <cellStyle name="Millares 3 13" xfId="332" xr:uid="{93D4D0A2-BE28-41FD-8DDC-CDE609CF2924}"/>
    <cellStyle name="Millares 3 2" xfId="4" xr:uid="{00000000-0005-0000-0000-000003000000}"/>
    <cellStyle name="Millares 3 2 10" xfId="1220" xr:uid="{F1A27AED-AD21-462A-9085-8DB4C42FC261}"/>
    <cellStyle name="Millares 3 2 11" xfId="2802" xr:uid="{968A1A36-9CE0-49D9-B928-CB55FA0F24F2}"/>
    <cellStyle name="Millares 3 2 12" xfId="339" xr:uid="{E9BA8547-7237-48A8-9A43-499D7C625301}"/>
    <cellStyle name="Millares 3 2 2" xfId="358" xr:uid="{13B7F1AB-B67B-4DBB-9D22-D3C8D5AB99AF}"/>
    <cellStyle name="Millares 3 2 2 10" xfId="2815" xr:uid="{C5913EFB-9BBB-4AFF-B8C3-11879B7FB9A0}"/>
    <cellStyle name="Millares 3 2 2 2" xfId="436" xr:uid="{A284FC7B-9240-4E36-972D-8C1A5DD65A30}"/>
    <cellStyle name="Millares 3 2 2 2 2" xfId="545" xr:uid="{07A9619E-C818-4B9A-A758-036ADA347240}"/>
    <cellStyle name="Millares 3 2 2 2 2 2" xfId="773" xr:uid="{93C86E23-6739-43C5-8BB8-08AF9B828BCC}"/>
    <cellStyle name="Millares 3 2 2 2 2 2 2" xfId="1173" xr:uid="{9A798491-AD6F-44DE-B401-E5D3E179AF20}"/>
    <cellStyle name="Millares 3 2 2 2 2 2 2 2" xfId="2756" xr:uid="{635C34D8-F167-42B2-BC43-C432ED95F3C9}"/>
    <cellStyle name="Millares 3 2 2 2 2 2 2 2 2" xfId="4338" xr:uid="{AC3703B1-B84A-4084-B121-665BF07A49BA}"/>
    <cellStyle name="Millares 3 2 2 2 2 2 2 3" xfId="1965" xr:uid="{EAEB50A9-CA19-4B65-B7FA-D144BB95893D}"/>
    <cellStyle name="Millares 3 2 2 2 2 2 2 4" xfId="3547" xr:uid="{7B78F1CA-9348-481E-8812-CDFAFFDE8DDB}"/>
    <cellStyle name="Millares 3 2 2 2 2 2 3" xfId="2362" xr:uid="{54FD84B0-A6C2-4FC9-8264-EAAB6460F1FD}"/>
    <cellStyle name="Millares 3 2 2 2 2 2 3 2" xfId="3944" xr:uid="{8EA34E6A-5F8A-450A-AD46-7A433D86975E}"/>
    <cellStyle name="Millares 3 2 2 2 2 2 4" xfId="1571" xr:uid="{6AC4D090-A745-4BC2-9BCE-6E3D9692998B}"/>
    <cellStyle name="Millares 3 2 2 2 2 2 5" xfId="3153" xr:uid="{C8FE1832-091C-468E-ACD7-0C5AA92C4F97}"/>
    <cellStyle name="Millares 3 2 2 2 2 3" xfId="952" xr:uid="{0C4314A8-571F-4E8B-91DE-121F016AC9EB}"/>
    <cellStyle name="Millares 3 2 2 2 2 3 2" xfId="2535" xr:uid="{C5F5B607-F761-4145-9F90-5451EF2B1213}"/>
    <cellStyle name="Millares 3 2 2 2 2 3 2 2" xfId="4117" xr:uid="{C08EC2BA-465C-40F5-8873-DF67D28EE057}"/>
    <cellStyle name="Millares 3 2 2 2 2 3 3" xfId="1744" xr:uid="{8E197019-5BE1-46B9-94CE-F720FC19C113}"/>
    <cellStyle name="Millares 3 2 2 2 2 3 4" xfId="3326" xr:uid="{9A227C4D-AE3A-486E-BB9B-8F385341DC08}"/>
    <cellStyle name="Millares 3 2 2 2 2 4" xfId="2141" xr:uid="{0C35257A-6BCF-46E0-B443-C3A65C087A08}"/>
    <cellStyle name="Millares 3 2 2 2 2 4 2" xfId="3723" xr:uid="{13367CAE-19BF-4C43-BA29-929D398602D6}"/>
    <cellStyle name="Millares 3 2 2 2 2 5" xfId="1350" xr:uid="{AAF758D7-88D1-498D-929D-2D0DC7DF3D7F}"/>
    <cellStyle name="Millares 3 2 2 2 2 6" xfId="2932" xr:uid="{FA129A7A-8CE7-4EE7-8277-D3B2D8D0598A}"/>
    <cellStyle name="Millares 3 2 2 2 3" xfId="622" xr:uid="{DFD0C59F-EE68-4940-80A5-AE3BCC8106A9}"/>
    <cellStyle name="Millares 3 2 2 2 3 2" xfId="1029" xr:uid="{EB5394AF-C4CB-451C-8EFD-D6F3897E92AE}"/>
    <cellStyle name="Millares 3 2 2 2 3 2 2" xfId="2612" xr:uid="{AA90CB13-102A-4A6E-B02E-FFF2C6E19636}"/>
    <cellStyle name="Millares 3 2 2 2 3 2 2 2" xfId="4194" xr:uid="{1729D011-6A07-42CA-99E3-1E1939F3EBDC}"/>
    <cellStyle name="Millares 3 2 2 2 3 2 3" xfId="1821" xr:uid="{20E17891-BD30-43E3-99B2-109EA2B80691}"/>
    <cellStyle name="Millares 3 2 2 2 3 2 4" xfId="3403" xr:uid="{C62330A3-FCF7-4FA5-A5C9-3D0FD4F209D6}"/>
    <cellStyle name="Millares 3 2 2 2 3 3" xfId="2218" xr:uid="{19290A33-67B7-4631-9205-109B7086AEB8}"/>
    <cellStyle name="Millares 3 2 2 2 3 3 2" xfId="3800" xr:uid="{56259F89-263C-4D21-8ACE-6595A22CE6C0}"/>
    <cellStyle name="Millares 3 2 2 2 3 4" xfId="1427" xr:uid="{84E9665C-596D-4377-B52D-07477ED1A8EC}"/>
    <cellStyle name="Millares 3 2 2 2 3 5" xfId="3009" xr:uid="{A80A819A-13CB-45E9-9B40-9AE64D616500}"/>
    <cellStyle name="Millares 3 2 2 2 4" xfId="697" xr:uid="{7BD259E7-A991-45E2-808C-CD7D3B51DEAA}"/>
    <cellStyle name="Millares 3 2 2 2 4 2" xfId="1097" xr:uid="{B3F59DC7-3DDE-45F3-9509-0AC6032E0E72}"/>
    <cellStyle name="Millares 3 2 2 2 4 2 2" xfId="2680" xr:uid="{D044B25A-3EE2-450C-B8AA-8F2D35963ADE}"/>
    <cellStyle name="Millares 3 2 2 2 4 2 2 2" xfId="4262" xr:uid="{DEA32BDE-9369-4DC1-A2A1-927B8B172ECA}"/>
    <cellStyle name="Millares 3 2 2 2 4 2 3" xfId="1889" xr:uid="{7F5D284A-A208-429E-934B-78A4E0EFE45B}"/>
    <cellStyle name="Millares 3 2 2 2 4 2 4" xfId="3471" xr:uid="{2A62BE9A-F52F-409D-8646-564CF9671636}"/>
    <cellStyle name="Millares 3 2 2 2 4 3" xfId="2286" xr:uid="{15562DA1-7EF6-469E-A01D-2883F5DF6465}"/>
    <cellStyle name="Millares 3 2 2 2 4 3 2" xfId="3868" xr:uid="{00D9B5DF-2C3C-4A12-958D-B4DDB4FB5A36}"/>
    <cellStyle name="Millares 3 2 2 2 4 4" xfId="1495" xr:uid="{F30C75C1-C7E7-47D9-B41D-94F121E01C57}"/>
    <cellStyle name="Millares 3 2 2 2 4 5" xfId="3077" xr:uid="{1F7D3537-6BCA-47C7-A7D1-B0A69527BF10}"/>
    <cellStyle name="Millares 3 2 2 2 5" xfId="876" xr:uid="{EAE29606-5465-488D-9064-789914EED88D}"/>
    <cellStyle name="Millares 3 2 2 2 5 2" xfId="2459" xr:uid="{63E8C915-3313-436F-AEAF-54F254A58115}"/>
    <cellStyle name="Millares 3 2 2 2 5 2 2" xfId="4041" xr:uid="{3DEF6F8B-696E-4EE4-A133-ED1CE69DC317}"/>
    <cellStyle name="Millares 3 2 2 2 5 3" xfId="1668" xr:uid="{1F0B0192-1A01-4897-82B7-197C8BD7CCBB}"/>
    <cellStyle name="Millares 3 2 2 2 5 4" xfId="3250" xr:uid="{FC232ECE-FA61-474E-BEFD-09DADEC433B4}"/>
    <cellStyle name="Millares 3 2 2 2 6" xfId="2065" xr:uid="{1F9B8343-665D-4E13-A2BB-2EDCBF74688E}"/>
    <cellStyle name="Millares 3 2 2 2 6 2" xfId="3647" xr:uid="{0B3EFF24-5076-4863-93FB-1CD23F964134}"/>
    <cellStyle name="Millares 3 2 2 2 7" xfId="1274" xr:uid="{B74A5C2E-B51C-4680-91BF-7185B7870223}"/>
    <cellStyle name="Millares 3 2 2 2 8" xfId="2856" xr:uid="{5B953E3F-A3DA-4952-BCC1-8806BC84647B}"/>
    <cellStyle name="Millares 3 2 2 3" xfId="504" xr:uid="{1B5BE3ED-0813-4A45-8BFC-12C58A9C39C8}"/>
    <cellStyle name="Millares 3 2 2 3 2" xfId="732" xr:uid="{C9A20575-C48A-4293-8406-42A4D6A6AC69}"/>
    <cellStyle name="Millares 3 2 2 3 2 2" xfId="1132" xr:uid="{0EC6C4B0-5EB3-4FB3-A6AF-C7153E8C3784}"/>
    <cellStyle name="Millares 3 2 2 3 2 2 2" xfId="2715" xr:uid="{26AFB57B-9A95-4DFF-98A1-403D9C982D60}"/>
    <cellStyle name="Millares 3 2 2 3 2 2 2 2" xfId="4297" xr:uid="{BC415BEE-0840-4428-AE16-D8EA3F74F3B8}"/>
    <cellStyle name="Millares 3 2 2 3 2 2 3" xfId="1924" xr:uid="{160E3701-0C30-4D1D-9134-D0393F9CC6B8}"/>
    <cellStyle name="Millares 3 2 2 3 2 2 4" xfId="3506" xr:uid="{6D268C54-AB8D-4F91-BF36-47AFAA360374}"/>
    <cellStyle name="Millares 3 2 2 3 2 3" xfId="2321" xr:uid="{F7EB4857-2D9C-4B2E-84E5-B3ECBECEE860}"/>
    <cellStyle name="Millares 3 2 2 3 2 3 2" xfId="3903" xr:uid="{4D21F4F1-2186-407C-833A-4017BF3B9A99}"/>
    <cellStyle name="Millares 3 2 2 3 2 4" xfId="1530" xr:uid="{FEB15A90-02DB-4C01-968A-95A8BED059C5}"/>
    <cellStyle name="Millares 3 2 2 3 2 5" xfId="3112" xr:uid="{5559CB9A-733D-4F01-93E1-72587085F26E}"/>
    <cellStyle name="Millares 3 2 2 3 3" xfId="911" xr:uid="{C529B24B-6F58-472F-ADB6-EFDAC7022A6C}"/>
    <cellStyle name="Millares 3 2 2 3 3 2" xfId="2494" xr:uid="{FEABED1A-DAD1-4568-A8CE-97DEBD0E244A}"/>
    <cellStyle name="Millares 3 2 2 3 3 2 2" xfId="4076" xr:uid="{487CCE34-B66A-4743-A7A2-88172D87AD75}"/>
    <cellStyle name="Millares 3 2 2 3 3 3" xfId="1703" xr:uid="{D2D07E7B-A990-48F7-88AB-32CCA5BF1961}"/>
    <cellStyle name="Millares 3 2 2 3 3 4" xfId="3285" xr:uid="{B01033DE-BF38-4DEE-BA86-B5AD4C2C8C68}"/>
    <cellStyle name="Millares 3 2 2 3 4" xfId="2100" xr:uid="{6BE51E67-39BE-4379-B832-FE21BD7BA5DB}"/>
    <cellStyle name="Millares 3 2 2 3 4 2" xfId="3682" xr:uid="{0D2850BF-CCE0-4D06-8EFC-59AA59D53F22}"/>
    <cellStyle name="Millares 3 2 2 3 5" xfId="1309" xr:uid="{EF6E3894-8D6E-4300-AA93-FEC3726E303C}"/>
    <cellStyle name="Millares 3 2 2 3 6" xfId="2891" xr:uid="{B0410852-5439-455F-B291-0683C03E7AA0}"/>
    <cellStyle name="Millares 3 2 2 4" xfId="581" xr:uid="{C289AF6B-796E-4256-AB4E-6A83DB7ACC80}"/>
    <cellStyle name="Millares 3 2 2 4 2" xfId="988" xr:uid="{A729FA73-FAFA-49A0-8FE4-83B8E8E78E38}"/>
    <cellStyle name="Millares 3 2 2 4 2 2" xfId="2571" xr:uid="{0D0808CB-9987-49E8-81CB-4FD2B03D2AA9}"/>
    <cellStyle name="Millares 3 2 2 4 2 2 2" xfId="4153" xr:uid="{B8ADF825-2B00-4FF2-B59C-6B9B4BAFDCF2}"/>
    <cellStyle name="Millares 3 2 2 4 2 3" xfId="1780" xr:uid="{5575CE6E-716E-4D29-AEAB-440D60641721}"/>
    <cellStyle name="Millares 3 2 2 4 2 4" xfId="3362" xr:uid="{AF76BF69-DF32-41E4-A491-A1AC5C3C715F}"/>
    <cellStyle name="Millares 3 2 2 4 3" xfId="2177" xr:uid="{FB847332-206C-44D3-BF2F-2F001FB4A64D}"/>
    <cellStyle name="Millares 3 2 2 4 3 2" xfId="3759" xr:uid="{103D5F2E-04B1-46D7-B161-B6AC44B27BBC}"/>
    <cellStyle name="Millares 3 2 2 4 4" xfId="1386" xr:uid="{F8F372F7-DEE7-47E6-A34A-2F7521F46BD3}"/>
    <cellStyle name="Millares 3 2 2 4 5" xfId="2968" xr:uid="{72BBA021-CB4B-4292-B38F-D99DBC3ECECF}"/>
    <cellStyle name="Millares 3 2 2 5" xfId="656" xr:uid="{3886B46D-1EAA-4450-AA42-0039743184BE}"/>
    <cellStyle name="Millares 3 2 2 5 2" xfId="1056" xr:uid="{6808A4A9-5950-453F-8448-B31D7F922904}"/>
    <cellStyle name="Millares 3 2 2 5 2 2" xfId="2639" xr:uid="{3BB4749F-DBE8-4F91-998E-20D074E2969C}"/>
    <cellStyle name="Millares 3 2 2 5 2 2 2" xfId="4221" xr:uid="{C60B1542-13E5-47D2-81DB-A090BE71AF75}"/>
    <cellStyle name="Millares 3 2 2 5 2 3" xfId="1848" xr:uid="{5C010F7B-CC66-4385-8E5B-C85DA7F5FB00}"/>
    <cellStyle name="Millares 3 2 2 5 2 4" xfId="3430" xr:uid="{E4A86167-0788-4BAB-933C-FAE84B8DE035}"/>
    <cellStyle name="Millares 3 2 2 5 3" xfId="2245" xr:uid="{9C4805F0-BBA3-49FC-8267-8624F1606D00}"/>
    <cellStyle name="Millares 3 2 2 5 3 2" xfId="3827" xr:uid="{9603325C-1B9A-4835-A35E-A44DDF98D222}"/>
    <cellStyle name="Millares 3 2 2 5 4" xfId="1454" xr:uid="{B8FB16C9-78F3-424F-8E1D-26072F1DB71D}"/>
    <cellStyle name="Millares 3 2 2 5 5" xfId="3036" xr:uid="{A5957F63-B8D9-4AB4-84E4-E3A0B38BE7D5}"/>
    <cellStyle name="Millares 3 2 2 6" xfId="808" xr:uid="{18006F2A-8D35-4D57-9402-02F1459D8F1D}"/>
    <cellStyle name="Millares 3 2 2 6 2" xfId="1208" xr:uid="{BE01CA75-52BB-40DE-92CC-9E1E3993BB41}"/>
    <cellStyle name="Millares 3 2 2 6 2 2" xfId="2791" xr:uid="{F0EA9188-82A3-41F9-9921-7DC15DC48D74}"/>
    <cellStyle name="Millares 3 2 2 6 2 2 2" xfId="4373" xr:uid="{76C10D1F-668F-4EC8-A6AF-6FB3729036CB}"/>
    <cellStyle name="Millares 3 2 2 6 2 3" xfId="2000" xr:uid="{9E64A1A6-FDA7-4033-9600-466BB27E1AAD}"/>
    <cellStyle name="Millares 3 2 2 6 2 4" xfId="3582" xr:uid="{12C9A262-95E1-4987-8C84-246EC22DE51B}"/>
    <cellStyle name="Millares 3 2 2 6 3" xfId="2397" xr:uid="{2DABE936-A36C-44B5-8613-94804B96AFCE}"/>
    <cellStyle name="Millares 3 2 2 6 3 2" xfId="3979" xr:uid="{A81A2D6B-A5BA-4E4E-AD86-A35CEB3FD1B7}"/>
    <cellStyle name="Millares 3 2 2 6 4" xfId="1606" xr:uid="{51763BDA-F240-44E5-8683-A0F0EC9AAEEE}"/>
    <cellStyle name="Millares 3 2 2 6 5" xfId="3188" xr:uid="{7A61F80D-AF4C-4CF6-A949-46F2EEA813D8}"/>
    <cellStyle name="Millares 3 2 2 7" xfId="835" xr:uid="{ACD81CC8-0E7D-42ED-8116-5AF57A71090B}"/>
    <cellStyle name="Millares 3 2 2 7 2" xfId="2418" xr:uid="{20D85815-2FE5-479D-83D2-62F55E35BA3E}"/>
    <cellStyle name="Millares 3 2 2 7 2 2" xfId="4000" xr:uid="{7C47F1DC-D0B5-4294-A828-3BD979DE930E}"/>
    <cellStyle name="Millares 3 2 2 7 3" xfId="1627" xr:uid="{22F6A243-AB86-4244-A04C-0EA6A96F4C8D}"/>
    <cellStyle name="Millares 3 2 2 7 4" xfId="3209" xr:uid="{B5350E21-D4F6-49C1-AACD-E061D476FD4D}"/>
    <cellStyle name="Millares 3 2 2 8" xfId="2024" xr:uid="{563F27A0-D1AC-4BBC-91FB-F689A2BC0914}"/>
    <cellStyle name="Millares 3 2 2 8 2" xfId="3606" xr:uid="{D444AAF7-8598-4D60-9F3A-651F5DD4D5B8}"/>
    <cellStyle name="Millares 3 2 2 9" xfId="1233" xr:uid="{EF13370E-B011-4512-B0AF-988807E9AE5D}"/>
    <cellStyle name="Millares 3 2 3" xfId="417" xr:uid="{BEF594E8-E6E2-4607-B837-96A406B58B86}"/>
    <cellStyle name="Millares 3 2 3 2" xfId="532" xr:uid="{4201DE0A-5A5F-4870-ADA8-28C1A201E6CC}"/>
    <cellStyle name="Millares 3 2 3 2 2" xfId="760" xr:uid="{231AF822-9947-4F6B-852E-45A5A5A224BC}"/>
    <cellStyle name="Millares 3 2 3 2 2 2" xfId="1160" xr:uid="{F5BB15A7-32C0-414C-8AA3-DF09425361B3}"/>
    <cellStyle name="Millares 3 2 3 2 2 2 2" xfId="2743" xr:uid="{59C2C7B0-1FE5-4A06-AAC7-9BA4D00EE459}"/>
    <cellStyle name="Millares 3 2 3 2 2 2 2 2" xfId="4325" xr:uid="{E21E9415-2408-4104-AF2E-FDEDEA5A73ED}"/>
    <cellStyle name="Millares 3 2 3 2 2 2 3" xfId="1952" xr:uid="{4CE89ABA-7FA1-437A-A80F-ABE8D31C905D}"/>
    <cellStyle name="Millares 3 2 3 2 2 2 4" xfId="3534" xr:uid="{7020D5B7-DBD4-427B-88B3-C5AC9E719033}"/>
    <cellStyle name="Millares 3 2 3 2 2 3" xfId="2349" xr:uid="{06149738-86AF-4BD2-8881-1638434D51C0}"/>
    <cellStyle name="Millares 3 2 3 2 2 3 2" xfId="3931" xr:uid="{3B693212-E688-45DB-BFC1-29F8333548B9}"/>
    <cellStyle name="Millares 3 2 3 2 2 4" xfId="1558" xr:uid="{11E73237-A8D9-4668-A5C3-EAFEEBA612EA}"/>
    <cellStyle name="Millares 3 2 3 2 2 5" xfId="3140" xr:uid="{1895EE70-F318-4250-9C13-DD58A9395630}"/>
    <cellStyle name="Millares 3 2 3 2 3" xfId="939" xr:uid="{2FDFB692-9664-4BAD-82A3-043065B28110}"/>
    <cellStyle name="Millares 3 2 3 2 3 2" xfId="2522" xr:uid="{AD2E5B92-37D2-4F52-8CAE-52C67761D848}"/>
    <cellStyle name="Millares 3 2 3 2 3 2 2" xfId="4104" xr:uid="{9ED1D9DD-C4D9-452C-9486-B04B0244A3BF}"/>
    <cellStyle name="Millares 3 2 3 2 3 3" xfId="1731" xr:uid="{7E7F51CC-E037-4415-B7B5-3555F6F074FA}"/>
    <cellStyle name="Millares 3 2 3 2 3 4" xfId="3313" xr:uid="{510F218B-767A-47C1-825B-DF2C2EC5BA0A}"/>
    <cellStyle name="Millares 3 2 3 2 4" xfId="2128" xr:uid="{B6D00D30-B167-4327-B638-36F2B01C0A2F}"/>
    <cellStyle name="Millares 3 2 3 2 4 2" xfId="3710" xr:uid="{DFD0430C-EE61-443A-89D4-F7E3B740C44C}"/>
    <cellStyle name="Millares 3 2 3 2 5" xfId="1337" xr:uid="{753DD856-A9B3-492B-99C0-0AAC54FF1D7C}"/>
    <cellStyle name="Millares 3 2 3 2 6" xfId="2919" xr:uid="{A91C8B03-D106-447E-925A-4D17A3F2A371}"/>
    <cellStyle name="Millares 3 2 3 3" xfId="609" xr:uid="{95D92984-4D5D-4FE9-8764-4F4BB489D83D}"/>
    <cellStyle name="Millares 3 2 3 3 2" xfId="1016" xr:uid="{F557A914-6872-4931-B13D-3109A2A8A087}"/>
    <cellStyle name="Millares 3 2 3 3 2 2" xfId="2599" xr:uid="{E2405E90-4E78-449C-92AA-4DA90D4C1D9C}"/>
    <cellStyle name="Millares 3 2 3 3 2 2 2" xfId="4181" xr:uid="{8EFC2493-0A19-415C-85D4-0560B0B47331}"/>
    <cellStyle name="Millares 3 2 3 3 2 3" xfId="1808" xr:uid="{5EC76D9B-7E0D-480C-80DB-777E923EB952}"/>
    <cellStyle name="Millares 3 2 3 3 2 4" xfId="3390" xr:uid="{980FA21E-D677-4CF8-A85F-6260240FAF8B}"/>
    <cellStyle name="Millares 3 2 3 3 3" xfId="2205" xr:uid="{F8969676-FCEE-48C5-A259-2B9A07A1FDB0}"/>
    <cellStyle name="Millares 3 2 3 3 3 2" xfId="3787" xr:uid="{60462FC7-CF90-4477-BC69-D80DC12DE2C3}"/>
    <cellStyle name="Millares 3 2 3 3 4" xfId="1414" xr:uid="{2803301F-4742-4831-83F8-7627C0ED4E2C}"/>
    <cellStyle name="Millares 3 2 3 3 5" xfId="2996" xr:uid="{7B83BBC6-A1E0-4C88-8DA6-81EE04131718}"/>
    <cellStyle name="Millares 3 2 3 4" xfId="684" xr:uid="{4EE4D057-22CB-4A9C-BFFA-6D5DDC801278}"/>
    <cellStyle name="Millares 3 2 3 4 2" xfId="1084" xr:uid="{0284F0CF-5A87-48FC-ABA9-F87319BD8E7B}"/>
    <cellStyle name="Millares 3 2 3 4 2 2" xfId="2667" xr:uid="{AF3B779E-2AE3-4E2E-AC7B-B29BF9CC1090}"/>
    <cellStyle name="Millares 3 2 3 4 2 2 2" xfId="4249" xr:uid="{9676EF9B-EDC6-4040-B099-284982D740F7}"/>
    <cellStyle name="Millares 3 2 3 4 2 3" xfId="1876" xr:uid="{C8F3E7C5-0092-4795-9C41-FBCB88A244B7}"/>
    <cellStyle name="Millares 3 2 3 4 2 4" xfId="3458" xr:uid="{C5D43A82-0DBA-4AD1-95DC-8B658429854D}"/>
    <cellStyle name="Millares 3 2 3 4 3" xfId="2273" xr:uid="{73F93C4A-7D3F-4F8C-9787-0BEF6C1681F3}"/>
    <cellStyle name="Millares 3 2 3 4 3 2" xfId="3855" xr:uid="{709C0561-7231-4ADC-ACFA-B3B9A1C3AFAC}"/>
    <cellStyle name="Millares 3 2 3 4 4" xfId="1482" xr:uid="{BCA3317A-F449-4696-95FC-54E52851A586}"/>
    <cellStyle name="Millares 3 2 3 4 5" xfId="3064" xr:uid="{835FCFD7-B3CE-4656-BE83-C3395A1EA42B}"/>
    <cellStyle name="Millares 3 2 3 5" xfId="863" xr:uid="{9996BA2B-A3D5-47B2-9673-61CB68419548}"/>
    <cellStyle name="Millares 3 2 3 5 2" xfId="2446" xr:uid="{D5F3DA6B-EFAB-47B4-AD33-7BD48AE3A93C}"/>
    <cellStyle name="Millares 3 2 3 5 2 2" xfId="4028" xr:uid="{0D4542E2-796B-469A-B40A-41A0D6C0D71B}"/>
    <cellStyle name="Millares 3 2 3 5 3" xfId="1655" xr:uid="{7A8F565E-390F-406F-A2AA-81804E01E7A8}"/>
    <cellStyle name="Millares 3 2 3 5 4" xfId="3237" xr:uid="{F8909E9B-92F2-4A93-BD73-C4835CC7A770}"/>
    <cellStyle name="Millares 3 2 3 6" xfId="2052" xr:uid="{9171348E-5101-4786-BD60-AEAC7FB05D99}"/>
    <cellStyle name="Millares 3 2 3 6 2" xfId="3634" xr:uid="{6E326376-EC46-4C4B-BE84-8A34B0C264DC}"/>
    <cellStyle name="Millares 3 2 3 7" xfId="1261" xr:uid="{58D499BC-D7F6-487C-89BB-AC0C66F4F62F}"/>
    <cellStyle name="Millares 3 2 3 8" xfId="2843" xr:uid="{E05686A9-5861-43B6-86EE-9DFA87066F27}"/>
    <cellStyle name="Millares 3 2 4" xfId="491" xr:uid="{58B2E08D-60D4-4FBC-88DE-1F49F940E25F}"/>
    <cellStyle name="Millares 3 2 4 2" xfId="719" xr:uid="{397CAB57-1D94-4BB1-A017-2B00ECEF21CE}"/>
    <cellStyle name="Millares 3 2 4 2 2" xfId="1119" xr:uid="{E5925664-3C8D-4045-BE1C-7FD4192A5F46}"/>
    <cellStyle name="Millares 3 2 4 2 2 2" xfId="2702" xr:uid="{D5ABE220-1C16-4BFB-9818-B75B1D35484E}"/>
    <cellStyle name="Millares 3 2 4 2 2 2 2" xfId="4284" xr:uid="{6C9EB7E3-4663-42C3-A8F6-1E7E959557DD}"/>
    <cellStyle name="Millares 3 2 4 2 2 3" xfId="1911" xr:uid="{8596607F-BC43-4D0E-B0D0-96AD93B2BE97}"/>
    <cellStyle name="Millares 3 2 4 2 2 4" xfId="3493" xr:uid="{EA7B5C7B-54CF-44E4-938F-3D550ED36162}"/>
    <cellStyle name="Millares 3 2 4 2 3" xfId="2308" xr:uid="{3C86504F-91AB-42E0-8844-DBD28DBE6B82}"/>
    <cellStyle name="Millares 3 2 4 2 3 2" xfId="3890" xr:uid="{DB3B74A8-AE34-4E76-9E4F-77BD0C767CF9}"/>
    <cellStyle name="Millares 3 2 4 2 4" xfId="1517" xr:uid="{3E06569C-8A8F-4162-B379-529D84B4C46E}"/>
    <cellStyle name="Millares 3 2 4 2 5" xfId="3099" xr:uid="{440EDB14-2AC6-45D5-8546-A1A04982FCD4}"/>
    <cellStyle name="Millares 3 2 4 3" xfId="898" xr:uid="{E02D2BA5-F0EA-4760-9CB8-22402C5FDF06}"/>
    <cellStyle name="Millares 3 2 4 3 2" xfId="2481" xr:uid="{C542EDD9-07A0-4C89-877A-B5C249484525}"/>
    <cellStyle name="Millares 3 2 4 3 2 2" xfId="4063" xr:uid="{E1CD77F0-1A7B-4802-9F78-FEECAC20DBE0}"/>
    <cellStyle name="Millares 3 2 4 3 3" xfId="1690" xr:uid="{51E6EF69-7AED-47AA-A54C-04202796670F}"/>
    <cellStyle name="Millares 3 2 4 3 4" xfId="3272" xr:uid="{2ABD1D35-214F-4DC2-BA25-F734C40CB276}"/>
    <cellStyle name="Millares 3 2 4 4" xfId="2087" xr:uid="{5B37B3DB-3BED-4032-836A-AC1CB599303F}"/>
    <cellStyle name="Millares 3 2 4 4 2" xfId="3669" xr:uid="{AC5192BF-37DE-4A34-9066-5EA9B1404D45}"/>
    <cellStyle name="Millares 3 2 4 5" xfId="1296" xr:uid="{074DD674-8417-4853-B453-C322FFDCF49D}"/>
    <cellStyle name="Millares 3 2 4 6" xfId="2878" xr:uid="{0E0965D0-CE81-4A03-AE22-F45C0A11129D}"/>
    <cellStyle name="Millares 3 2 5" xfId="568" xr:uid="{2324D9D0-8563-4C5D-B09C-55CDD7C461F3}"/>
    <cellStyle name="Millares 3 2 5 2" xfId="975" xr:uid="{382EC0CC-4758-4236-ADA8-B75399284F0B}"/>
    <cellStyle name="Millares 3 2 5 2 2" xfId="2558" xr:uid="{A5ADB927-06FF-45C2-831A-DC8CBB49D5C6}"/>
    <cellStyle name="Millares 3 2 5 2 2 2" xfId="4140" xr:uid="{8611B104-5B35-4B6A-BEF7-7ACF34A57700}"/>
    <cellStyle name="Millares 3 2 5 2 3" xfId="1767" xr:uid="{2BE8767C-3F0A-4295-ABFA-CA7F827F563F}"/>
    <cellStyle name="Millares 3 2 5 2 4" xfId="3349" xr:uid="{EA32BEE0-2018-4BD4-985F-7AAEF32C8A65}"/>
    <cellStyle name="Millares 3 2 5 3" xfId="2164" xr:uid="{5C7DEDC5-89AF-4175-B2E3-F5D304F786B3}"/>
    <cellStyle name="Millares 3 2 5 3 2" xfId="3746" xr:uid="{20093F5E-EF9A-4ECA-B950-55C6D4B957F1}"/>
    <cellStyle name="Millares 3 2 5 4" xfId="1373" xr:uid="{7480E213-6193-4C29-8E08-C3FC1D29DF9D}"/>
    <cellStyle name="Millares 3 2 5 5" xfId="2955" xr:uid="{072692CC-9323-4AF1-AA28-D7A38F6A14C2}"/>
    <cellStyle name="Millares 3 2 6" xfId="643" xr:uid="{B9FF4DEE-5F07-4997-B3C0-A6DC45E6291E}"/>
    <cellStyle name="Millares 3 2 6 2" xfId="1043" xr:uid="{179F47D9-2B8E-499E-952C-500E58BDD4BB}"/>
    <cellStyle name="Millares 3 2 6 2 2" xfId="2626" xr:uid="{849A2640-AE3B-425D-9724-9F46B159B0BE}"/>
    <cellStyle name="Millares 3 2 6 2 2 2" xfId="4208" xr:uid="{975B5EFA-3BA6-4B2E-9A73-C8EA027AAA9F}"/>
    <cellStyle name="Millares 3 2 6 2 3" xfId="1835" xr:uid="{59B3DA37-B96D-4A93-ABFB-BD9AE851CFBE}"/>
    <cellStyle name="Millares 3 2 6 2 4" xfId="3417" xr:uid="{8BB680BD-BA44-4D13-95D5-603AAA3ABA18}"/>
    <cellStyle name="Millares 3 2 6 3" xfId="2232" xr:uid="{484E7B04-FFFF-4A2A-AD40-7065F70B6FB1}"/>
    <cellStyle name="Millares 3 2 6 3 2" xfId="3814" xr:uid="{D0A3CD8E-F603-4FA0-B37D-F25F5A68F40E}"/>
    <cellStyle name="Millares 3 2 6 4" xfId="1441" xr:uid="{24AC58E9-2AE0-47D3-92F2-67306CA15540}"/>
    <cellStyle name="Millares 3 2 6 5" xfId="3023" xr:uid="{3A902318-47DC-4C14-96DA-92E80E42F49F}"/>
    <cellStyle name="Millares 3 2 7" xfId="795" xr:uid="{C804D264-358E-4D03-84F2-EB1439016B56}"/>
    <cellStyle name="Millares 3 2 7 2" xfId="1195" xr:uid="{2A80F4EC-023C-4CD0-9B72-281BBDA9E770}"/>
    <cellStyle name="Millares 3 2 7 2 2" xfId="2778" xr:uid="{6DDCC346-BCE9-4BCB-9C0A-6336324C83F7}"/>
    <cellStyle name="Millares 3 2 7 2 2 2" xfId="4360" xr:uid="{FB7F12DC-8DA7-4F6A-B8D2-EDCF39C04DD0}"/>
    <cellStyle name="Millares 3 2 7 2 3" xfId="1987" xr:uid="{88AE89DD-3555-4DFA-AE60-6961EAFBFFC3}"/>
    <cellStyle name="Millares 3 2 7 2 4" xfId="3569" xr:uid="{8038A6CC-97AD-4DB9-8431-9C7E3750A1B0}"/>
    <cellStyle name="Millares 3 2 7 3" xfId="2384" xr:uid="{9C40F807-A5B8-4B6F-B647-FCD5E911207B}"/>
    <cellStyle name="Millares 3 2 7 3 2" xfId="3966" xr:uid="{AB2FA1A9-3778-42F9-8ACD-07071788DBF0}"/>
    <cellStyle name="Millares 3 2 7 4" xfId="1593" xr:uid="{E122CD2B-53DC-4CF6-AE23-F48DE1C5E166}"/>
    <cellStyle name="Millares 3 2 7 5" xfId="3175" xr:uid="{45B50667-81BE-4B97-AA5E-5717CA896F49}"/>
    <cellStyle name="Millares 3 2 8" xfId="822" xr:uid="{8CD7F324-2264-4FC9-99C7-411892F6A001}"/>
    <cellStyle name="Millares 3 2 8 2" xfId="2405" xr:uid="{24CCDD6E-AFBE-47F8-B7B0-FAC3D14CC378}"/>
    <cellStyle name="Millares 3 2 8 2 2" xfId="3987" xr:uid="{47964EEA-EE2A-48D9-A7B5-E7E1B8EEBD95}"/>
    <cellStyle name="Millares 3 2 8 3" xfId="1614" xr:uid="{DCB2609C-0C03-498B-9871-5C0987BCA6B3}"/>
    <cellStyle name="Millares 3 2 8 4" xfId="3196" xr:uid="{B42876CA-5031-4E32-916B-D1FCD639706C}"/>
    <cellStyle name="Millares 3 2 9" xfId="2011" xr:uid="{A37598FE-AF22-4C25-82C7-2AE7AFFC2DC9}"/>
    <cellStyle name="Millares 3 2 9 2" xfId="3593" xr:uid="{C2263AD5-E338-4B37-8904-788A3579F414}"/>
    <cellStyle name="Millares 3 3" xfId="350" xr:uid="{A31CC0E6-6127-46E3-924B-CD366EFC2CAA}"/>
    <cellStyle name="Millares 3 3 10" xfId="2810" xr:uid="{FC991196-E9C2-40EC-B79B-61CE1A49BBA2}"/>
    <cellStyle name="Millares 3 3 2" xfId="428" xr:uid="{9733A258-4307-453D-A039-E275E5D22196}"/>
    <cellStyle name="Millares 3 3 2 2" xfId="540" xr:uid="{07BDA9E6-90E7-4C09-8A75-4EB476308125}"/>
    <cellStyle name="Millares 3 3 2 2 2" xfId="768" xr:uid="{57C05B27-1725-4CD8-8527-B9EB6EA01B5B}"/>
    <cellStyle name="Millares 3 3 2 2 2 2" xfId="1168" xr:uid="{22C522DA-98B4-403A-AADC-438276048D88}"/>
    <cellStyle name="Millares 3 3 2 2 2 2 2" xfId="2751" xr:uid="{EBF577A7-CEC3-4F1E-906A-027CDD5D8EC4}"/>
    <cellStyle name="Millares 3 3 2 2 2 2 2 2" xfId="4333" xr:uid="{EE2806C1-F7C5-4B33-9897-9A3D88D1C84B}"/>
    <cellStyle name="Millares 3 3 2 2 2 2 3" xfId="1960" xr:uid="{261A2D87-88C8-4851-897C-2B03558D6E65}"/>
    <cellStyle name="Millares 3 3 2 2 2 2 4" xfId="3542" xr:uid="{52DBC1C2-C792-45D3-8741-D28D9CD8B137}"/>
    <cellStyle name="Millares 3 3 2 2 2 3" xfId="2357" xr:uid="{01B83A81-7184-4D6B-9CA9-FA86009AE936}"/>
    <cellStyle name="Millares 3 3 2 2 2 3 2" xfId="3939" xr:uid="{A8394C40-1794-44E1-9F8A-42C223D068EF}"/>
    <cellStyle name="Millares 3 3 2 2 2 4" xfId="1566" xr:uid="{E1EEE976-BFC5-4DDD-B01B-6616DD2C5013}"/>
    <cellStyle name="Millares 3 3 2 2 2 5" xfId="3148" xr:uid="{B5478F36-FE4D-4D1D-818F-155F363D7530}"/>
    <cellStyle name="Millares 3 3 2 2 3" xfId="947" xr:uid="{9981A500-6CDD-4EC7-9869-74634EAFA46E}"/>
    <cellStyle name="Millares 3 3 2 2 3 2" xfId="2530" xr:uid="{ED4BF9FE-9460-4C1C-A85A-01CDBFD71650}"/>
    <cellStyle name="Millares 3 3 2 2 3 2 2" xfId="4112" xr:uid="{98BFEDCD-2F40-4559-A662-F1757ECBE3D9}"/>
    <cellStyle name="Millares 3 3 2 2 3 3" xfId="1739" xr:uid="{8AA2C865-A553-44A0-A177-35FFEA7D2E43}"/>
    <cellStyle name="Millares 3 3 2 2 3 4" xfId="3321" xr:uid="{3B853A43-B1EE-46B7-AD12-EA600C69A6FF}"/>
    <cellStyle name="Millares 3 3 2 2 4" xfId="2136" xr:uid="{0EBA07EA-4AB3-4D37-9B22-7510D507A869}"/>
    <cellStyle name="Millares 3 3 2 2 4 2" xfId="3718" xr:uid="{6BF5CBE7-722D-4838-83A8-1CA0A0EBD84B}"/>
    <cellStyle name="Millares 3 3 2 2 5" xfId="1345" xr:uid="{FA4A82B6-7465-4FF6-942C-85839C29250F}"/>
    <cellStyle name="Millares 3 3 2 2 6" xfId="2927" xr:uid="{BD2ADA52-7D48-4A53-AB1C-798ABC8CADAA}"/>
    <cellStyle name="Millares 3 3 2 3" xfId="617" xr:uid="{C7C93A7F-9514-4391-8C71-CF09124C032B}"/>
    <cellStyle name="Millares 3 3 2 3 2" xfId="1024" xr:uid="{7D0BFF1F-3A62-4488-9E5B-9946AF75FB9E}"/>
    <cellStyle name="Millares 3 3 2 3 2 2" xfId="2607" xr:uid="{DA6811B8-90D0-4365-99C8-BF47F5033DAE}"/>
    <cellStyle name="Millares 3 3 2 3 2 2 2" xfId="4189" xr:uid="{59AC804F-AD12-4198-92F4-EDF11E0BA5BB}"/>
    <cellStyle name="Millares 3 3 2 3 2 3" xfId="1816" xr:uid="{50C821EC-19A3-4B80-A392-D03C69F32BC0}"/>
    <cellStyle name="Millares 3 3 2 3 2 4" xfId="3398" xr:uid="{34AEC6C2-F5B8-4C91-B01C-9E29DF0B0E5E}"/>
    <cellStyle name="Millares 3 3 2 3 3" xfId="2213" xr:uid="{049C8113-7C90-46D7-947C-CDD373119F83}"/>
    <cellStyle name="Millares 3 3 2 3 3 2" xfId="3795" xr:uid="{359E8ACB-E011-4533-8039-F5AF5BD6FC78}"/>
    <cellStyle name="Millares 3 3 2 3 4" xfId="1422" xr:uid="{DFD01F60-80EF-4997-BB1F-CAF94D4C382B}"/>
    <cellStyle name="Millares 3 3 2 3 5" xfId="3004" xr:uid="{A62BE1B8-9872-4632-9528-3C5BAD79064D}"/>
    <cellStyle name="Millares 3 3 2 4" xfId="692" xr:uid="{E9F8A05B-AA63-482A-BCC1-E14FE0798771}"/>
    <cellStyle name="Millares 3 3 2 4 2" xfId="1092" xr:uid="{5666566E-4417-40AC-B03B-1C2DCEDAB1EA}"/>
    <cellStyle name="Millares 3 3 2 4 2 2" xfId="2675" xr:uid="{3C3E3682-4159-4C77-87AE-0FE50F871B49}"/>
    <cellStyle name="Millares 3 3 2 4 2 2 2" xfId="4257" xr:uid="{9289030A-29AD-4F1C-A402-9D00A254AD16}"/>
    <cellStyle name="Millares 3 3 2 4 2 3" xfId="1884" xr:uid="{15A85C52-783F-41AC-A1FB-1FF711B7D528}"/>
    <cellStyle name="Millares 3 3 2 4 2 4" xfId="3466" xr:uid="{F76CAAF4-8BFD-4F39-891A-07FB2C248CDD}"/>
    <cellStyle name="Millares 3 3 2 4 3" xfId="2281" xr:uid="{2CFBF426-A69B-49F8-B10A-86EE3A8CD378}"/>
    <cellStyle name="Millares 3 3 2 4 3 2" xfId="3863" xr:uid="{945FE6D2-E46C-44A3-A35C-7BC2433EC768}"/>
    <cellStyle name="Millares 3 3 2 4 4" xfId="1490" xr:uid="{4EC99C0D-05CD-4045-BE01-1C12E327C5F7}"/>
    <cellStyle name="Millares 3 3 2 4 5" xfId="3072" xr:uid="{CDAAD9D2-2FA2-4F21-AAD6-89DD11A315CF}"/>
    <cellStyle name="Millares 3 3 2 5" xfId="871" xr:uid="{296939AE-889F-4A31-B419-06BB39D282E6}"/>
    <cellStyle name="Millares 3 3 2 5 2" xfId="2454" xr:uid="{87386226-0E3E-4F30-86CD-F2D3A7A5FEA7}"/>
    <cellStyle name="Millares 3 3 2 5 2 2" xfId="4036" xr:uid="{E756D5B3-5624-476E-8218-127B492855CB}"/>
    <cellStyle name="Millares 3 3 2 5 3" xfId="1663" xr:uid="{9AF7B257-2046-4C66-ACDF-B723499368A7}"/>
    <cellStyle name="Millares 3 3 2 5 4" xfId="3245" xr:uid="{0F60A963-E7D1-4BB6-AC25-BD51F4AEDD28}"/>
    <cellStyle name="Millares 3 3 2 6" xfId="2060" xr:uid="{A7FDA861-DFE3-4F02-B509-E4C53EDDE71B}"/>
    <cellStyle name="Millares 3 3 2 6 2" xfId="3642" xr:uid="{5F1DD5D8-9803-4AC3-9078-1A69CD458217}"/>
    <cellStyle name="Millares 3 3 2 7" xfId="1269" xr:uid="{24D98C0E-2F6C-4894-B150-61E905C6A130}"/>
    <cellStyle name="Millares 3 3 2 8" xfId="2851" xr:uid="{103D6D01-542C-4691-9443-757B05E7FAD7}"/>
    <cellStyle name="Millares 3 3 3" xfId="499" xr:uid="{D1E5F564-1533-41A6-BDE0-0714D2AC1DE2}"/>
    <cellStyle name="Millares 3 3 3 2" xfId="727" xr:uid="{50CCA0E5-34C1-4135-8B5C-397CB3FB67A0}"/>
    <cellStyle name="Millares 3 3 3 2 2" xfId="1127" xr:uid="{B9D63141-D74D-4F57-9E65-32B20E4A65A7}"/>
    <cellStyle name="Millares 3 3 3 2 2 2" xfId="2710" xr:uid="{128FE604-D1E5-4ACA-9E3E-C37F703A2D50}"/>
    <cellStyle name="Millares 3 3 3 2 2 2 2" xfId="4292" xr:uid="{98FD2A5E-6137-46F7-9062-03252EC316E9}"/>
    <cellStyle name="Millares 3 3 3 2 2 3" xfId="1919" xr:uid="{0C122475-C8ED-4EFB-A307-151553AAE4C4}"/>
    <cellStyle name="Millares 3 3 3 2 2 4" xfId="3501" xr:uid="{DBA0B078-54AC-45E4-9CCB-92CF12B4CE70}"/>
    <cellStyle name="Millares 3 3 3 2 3" xfId="2316" xr:uid="{B87D56C5-AE76-4E3B-A7FE-5A1842E38DD0}"/>
    <cellStyle name="Millares 3 3 3 2 3 2" xfId="3898" xr:uid="{74FE11A9-2B3C-4180-8C5B-A6919E28D01F}"/>
    <cellStyle name="Millares 3 3 3 2 4" xfId="1525" xr:uid="{193A96E8-DAA9-4FB5-9742-B88EAE1D7FC4}"/>
    <cellStyle name="Millares 3 3 3 2 5" xfId="3107" xr:uid="{FC396D3E-1BB4-4CF4-B729-26A7F547A726}"/>
    <cellStyle name="Millares 3 3 3 3" xfId="906" xr:uid="{EECC1E28-FCDD-4D66-9F43-DD535970923A}"/>
    <cellStyle name="Millares 3 3 3 3 2" xfId="2489" xr:uid="{D163A95B-0118-42AA-A96C-D46A29309F43}"/>
    <cellStyle name="Millares 3 3 3 3 2 2" xfId="4071" xr:uid="{8CE9A8EA-EC67-423C-9365-A5FC67BA67AF}"/>
    <cellStyle name="Millares 3 3 3 3 3" xfId="1698" xr:uid="{BFCF0D1E-583F-46EC-94A4-19C7994B05E9}"/>
    <cellStyle name="Millares 3 3 3 3 4" xfId="3280" xr:uid="{15315085-8660-461D-BDA7-093E013F8CA7}"/>
    <cellStyle name="Millares 3 3 3 4" xfId="2095" xr:uid="{0D28883E-E9A1-4230-83E4-8F53B5F09EA8}"/>
    <cellStyle name="Millares 3 3 3 4 2" xfId="3677" xr:uid="{9760FE52-7AF4-416A-A86D-1F31FF437449}"/>
    <cellStyle name="Millares 3 3 3 5" xfId="1304" xr:uid="{AC95AD5E-F0A7-4CD7-B7CB-1879EDA9DC3F}"/>
    <cellStyle name="Millares 3 3 3 6" xfId="2886" xr:uid="{2CF2117A-8797-46CA-AAF1-E4BB8B082485}"/>
    <cellStyle name="Millares 3 3 4" xfId="576" xr:uid="{24A58F12-1DC1-43B5-90A1-408C8A33233F}"/>
    <cellStyle name="Millares 3 3 4 2" xfId="983" xr:uid="{EA464A04-82A2-48CF-B42E-B5453F0CBDAE}"/>
    <cellStyle name="Millares 3 3 4 2 2" xfId="2566" xr:uid="{A961CD2B-ECB1-47A5-A58F-4780F9CF4D35}"/>
    <cellStyle name="Millares 3 3 4 2 2 2" xfId="4148" xr:uid="{919C8862-9146-48DF-B60F-49A7F5990711}"/>
    <cellStyle name="Millares 3 3 4 2 3" xfId="1775" xr:uid="{B29A77A3-3AB9-4117-BC40-38C45D376DEC}"/>
    <cellStyle name="Millares 3 3 4 2 4" xfId="3357" xr:uid="{7E6E1374-CBB9-4FB5-BEE8-AC2970860E12}"/>
    <cellStyle name="Millares 3 3 4 3" xfId="2172" xr:uid="{EF22BD2A-EA7B-4C34-9A52-07328325F637}"/>
    <cellStyle name="Millares 3 3 4 3 2" xfId="3754" xr:uid="{1B417278-F308-402C-98D6-824423BE1D91}"/>
    <cellStyle name="Millares 3 3 4 4" xfId="1381" xr:uid="{67E8D001-0FCD-4D71-8258-0B82438362B7}"/>
    <cellStyle name="Millares 3 3 4 5" xfId="2963" xr:uid="{C830F7FA-954A-4143-8DF7-B1C882F983A3}"/>
    <cellStyle name="Millares 3 3 5" xfId="651" xr:uid="{6950CD1D-E75C-4444-9BF6-42C996D13D79}"/>
    <cellStyle name="Millares 3 3 5 2" xfId="1051" xr:uid="{04BB422F-2914-42C7-BAD3-542E9BAB585C}"/>
    <cellStyle name="Millares 3 3 5 2 2" xfId="2634" xr:uid="{8D3543C9-BE31-41ED-82AD-48E18E25A9DD}"/>
    <cellStyle name="Millares 3 3 5 2 2 2" xfId="4216" xr:uid="{20C3605D-7C81-4220-8F31-1D18CBDCD9F6}"/>
    <cellStyle name="Millares 3 3 5 2 3" xfId="1843" xr:uid="{E8B0302A-5C9B-4070-99DA-6BD4D1123EA7}"/>
    <cellStyle name="Millares 3 3 5 2 4" xfId="3425" xr:uid="{BFF1A779-A907-4C6C-82D4-263A0810040B}"/>
    <cellStyle name="Millares 3 3 5 3" xfId="2240" xr:uid="{200C8ECE-EBB7-40D7-A7AC-8F0AB512589A}"/>
    <cellStyle name="Millares 3 3 5 3 2" xfId="3822" xr:uid="{72D3371D-6DD8-4069-8987-A3BF3C63F9BC}"/>
    <cellStyle name="Millares 3 3 5 4" xfId="1449" xr:uid="{25025175-3D86-4DD8-AE44-FE74734D222A}"/>
    <cellStyle name="Millares 3 3 5 5" xfId="3031" xr:uid="{1DA3B8F6-EB08-481F-BFEE-DEAA73275AA1}"/>
    <cellStyle name="Millares 3 3 6" xfId="803" xr:uid="{33899022-3F94-4968-BFA3-0E854A030FEE}"/>
    <cellStyle name="Millares 3 3 6 2" xfId="1203" xr:uid="{C2001B06-9160-40FC-8A8C-A6AC63F1ACA0}"/>
    <cellStyle name="Millares 3 3 6 2 2" xfId="2786" xr:uid="{B1415CE3-1624-4268-AF2F-4298BEA1BD3A}"/>
    <cellStyle name="Millares 3 3 6 2 2 2" xfId="4368" xr:uid="{2D8FBFB0-A633-4A3F-9C9A-447454273BD2}"/>
    <cellStyle name="Millares 3 3 6 2 3" xfId="1995" xr:uid="{B2050C6E-AC17-4A4A-B8BF-BCF04278398F}"/>
    <cellStyle name="Millares 3 3 6 2 4" xfId="3577" xr:uid="{DC0E65DC-08CC-4B85-B221-331428FAB405}"/>
    <cellStyle name="Millares 3 3 6 3" xfId="2392" xr:uid="{1A689A9A-3BF5-497D-9A7D-08398360DC51}"/>
    <cellStyle name="Millares 3 3 6 3 2" xfId="3974" xr:uid="{D75A19FF-63B5-44F9-81DF-67A7E19FEA50}"/>
    <cellStyle name="Millares 3 3 6 4" xfId="1601" xr:uid="{6C011883-371D-4A3F-8E5E-CE479192FBA0}"/>
    <cellStyle name="Millares 3 3 6 5" xfId="3183" xr:uid="{92EBD426-2829-4AD3-A292-011C464D184D}"/>
    <cellStyle name="Millares 3 3 7" xfId="830" xr:uid="{0FFDE482-A39A-4400-8C1A-6A6F70E4CCCE}"/>
    <cellStyle name="Millares 3 3 7 2" xfId="2413" xr:uid="{D60BC857-48CD-49D8-BD6C-24F65FE3295A}"/>
    <cellStyle name="Millares 3 3 7 2 2" xfId="3995" xr:uid="{4F13461C-9DAA-435F-9393-6B4AC40254E0}"/>
    <cellStyle name="Millares 3 3 7 3" xfId="1622" xr:uid="{71550F18-B495-4423-8C3F-B53A6C069201}"/>
    <cellStyle name="Millares 3 3 7 4" xfId="3204" xr:uid="{06E21821-3505-46BD-870D-C44ADF28F468}"/>
    <cellStyle name="Millares 3 3 8" xfId="2019" xr:uid="{675C2C77-1783-47FF-8815-32DD6EF8295D}"/>
    <cellStyle name="Millares 3 3 8 2" xfId="3601" xr:uid="{09040294-3CC2-482A-9B86-E005E7437D9D}"/>
    <cellStyle name="Millares 3 3 9" xfId="1228" xr:uid="{29BC77E0-1D95-4F28-BA67-BFB10203292B}"/>
    <cellStyle name="Millares 3 4" xfId="409" xr:uid="{61736DAC-C575-4FDE-A8E9-6FA9DA05C3B8}"/>
    <cellStyle name="Millares 3 4 2" xfId="527" xr:uid="{5F046C1D-5B93-4216-968B-625CC226801B}"/>
    <cellStyle name="Millares 3 4 2 2" xfId="755" xr:uid="{F36388EF-3C30-4AD4-87F5-A247810EF363}"/>
    <cellStyle name="Millares 3 4 2 2 2" xfId="1155" xr:uid="{47096FF0-9F53-400E-A7F5-17F6DF6F6737}"/>
    <cellStyle name="Millares 3 4 2 2 2 2" xfId="2738" xr:uid="{E4930FDD-29C8-4976-AB43-B30F4C948714}"/>
    <cellStyle name="Millares 3 4 2 2 2 2 2" xfId="4320" xr:uid="{ED75CCEF-4BCB-4CB8-8EEC-D3C3C28CE89F}"/>
    <cellStyle name="Millares 3 4 2 2 2 3" xfId="1947" xr:uid="{2AE63068-118D-436E-A06B-976618C1125B}"/>
    <cellStyle name="Millares 3 4 2 2 2 4" xfId="3529" xr:uid="{8919B107-73A3-41EE-968C-05825D38C473}"/>
    <cellStyle name="Millares 3 4 2 2 3" xfId="2344" xr:uid="{87015D0A-37D1-427F-AE79-C80C18E9DF80}"/>
    <cellStyle name="Millares 3 4 2 2 3 2" xfId="3926" xr:uid="{229DEC2B-1947-4906-B3D7-E0133B971D07}"/>
    <cellStyle name="Millares 3 4 2 2 4" xfId="1553" xr:uid="{5EAFBBA8-ECDB-4E50-AC60-384B9B221CA3}"/>
    <cellStyle name="Millares 3 4 2 2 5" xfId="3135" xr:uid="{345D0FBA-594E-4DB5-B697-6CD8DF57BAC6}"/>
    <cellStyle name="Millares 3 4 2 3" xfId="934" xr:uid="{1464BA50-8C1E-44C5-9152-87D7FF94FA16}"/>
    <cellStyle name="Millares 3 4 2 3 2" xfId="2517" xr:uid="{A637E8E0-DF42-402E-B07A-9CD35975B5F3}"/>
    <cellStyle name="Millares 3 4 2 3 2 2" xfId="4099" xr:uid="{FBB301AE-39EC-4CCF-BBB8-1D721E68E898}"/>
    <cellStyle name="Millares 3 4 2 3 3" xfId="1726" xr:uid="{AF42D985-CD04-493D-9776-AC9E8D5107CF}"/>
    <cellStyle name="Millares 3 4 2 3 4" xfId="3308" xr:uid="{D1703090-0B82-446E-8361-42685C510649}"/>
    <cellStyle name="Millares 3 4 2 4" xfId="2123" xr:uid="{54654CBB-9DD0-4A34-8F6D-2D4997C02523}"/>
    <cellStyle name="Millares 3 4 2 4 2" xfId="3705" xr:uid="{95064384-4C46-40BA-95C5-FF271A4950AB}"/>
    <cellStyle name="Millares 3 4 2 5" xfId="1332" xr:uid="{6069B231-EC5F-4C81-B520-E65B7E8E3EB5}"/>
    <cellStyle name="Millares 3 4 2 6" xfId="2914" xr:uid="{DF781D89-A763-4E2E-B5DA-D9DFF9587C97}"/>
    <cellStyle name="Millares 3 4 3" xfId="604" xr:uid="{8D0DC429-1FF9-435A-AD0F-543206D05053}"/>
    <cellStyle name="Millares 3 4 3 2" xfId="1011" xr:uid="{49EA9413-274D-4CD7-BB9A-0FA93F43FBD1}"/>
    <cellStyle name="Millares 3 4 3 2 2" xfId="2594" xr:uid="{6FBD0957-FF15-499C-9DDC-43F88B7A3F31}"/>
    <cellStyle name="Millares 3 4 3 2 2 2" xfId="4176" xr:uid="{C2A37A8C-4EA2-4E81-A950-53C8CCD66245}"/>
    <cellStyle name="Millares 3 4 3 2 3" xfId="1803" xr:uid="{A825FEFA-481A-439D-BC71-0BD56211384E}"/>
    <cellStyle name="Millares 3 4 3 2 4" xfId="3385" xr:uid="{B6DC3C83-D3CC-49F0-955E-563C1A2388D4}"/>
    <cellStyle name="Millares 3 4 3 3" xfId="2200" xr:uid="{A58A8657-B1D2-42B7-A584-9B6AF09A6B0B}"/>
    <cellStyle name="Millares 3 4 3 3 2" xfId="3782" xr:uid="{EEE6BF50-52AA-4AF2-923E-443AE138CADB}"/>
    <cellStyle name="Millares 3 4 3 4" xfId="1409" xr:uid="{220B7DA3-F1FA-488C-ADC2-3F5517AD7CCD}"/>
    <cellStyle name="Millares 3 4 3 5" xfId="2991" xr:uid="{84B34E0C-BC6D-4298-9C1C-33F705789087}"/>
    <cellStyle name="Millares 3 4 4" xfId="679" xr:uid="{0780B750-137A-4049-A0D8-748EEF2C4B88}"/>
    <cellStyle name="Millares 3 4 4 2" xfId="1079" xr:uid="{7D6FA41E-2359-44FF-BDFF-065A0FABC9FC}"/>
    <cellStyle name="Millares 3 4 4 2 2" xfId="2662" xr:uid="{A0205BE8-BFA2-4BAB-BE81-8BD00BBAFFC2}"/>
    <cellStyle name="Millares 3 4 4 2 2 2" xfId="4244" xr:uid="{FCC43574-6888-493A-80CB-5AB3698A7967}"/>
    <cellStyle name="Millares 3 4 4 2 3" xfId="1871" xr:uid="{7A958913-BB66-4A3E-AF7B-2A516CFA698E}"/>
    <cellStyle name="Millares 3 4 4 2 4" xfId="3453" xr:uid="{528A5391-7BEB-4548-ABE7-60128EE63103}"/>
    <cellStyle name="Millares 3 4 4 3" xfId="2268" xr:uid="{FB22E96B-B965-4915-942B-62EC3B6AC0B9}"/>
    <cellStyle name="Millares 3 4 4 3 2" xfId="3850" xr:uid="{2F7F16D8-AD10-4487-8439-11F99CB48D82}"/>
    <cellStyle name="Millares 3 4 4 4" xfId="1477" xr:uid="{B2AFBDF6-16FC-409C-9783-C2BAAD2D9AA1}"/>
    <cellStyle name="Millares 3 4 4 5" xfId="3059" xr:uid="{D58EFDF5-1C77-4888-B1F9-33A3E351A67E}"/>
    <cellStyle name="Millares 3 4 5" xfId="858" xr:uid="{F6770F5F-BF81-4C42-A7AA-29CCFB8CACD2}"/>
    <cellStyle name="Millares 3 4 5 2" xfId="2441" xr:uid="{4B3B68F1-BA92-475F-93B0-2FCFE2666A88}"/>
    <cellStyle name="Millares 3 4 5 2 2" xfId="4023" xr:uid="{BDBEC3CB-B657-4C80-93E2-F6C37154A82A}"/>
    <cellStyle name="Millares 3 4 5 3" xfId="1650" xr:uid="{33637EFF-3452-40D6-81D3-ED9583BD3D91}"/>
    <cellStyle name="Millares 3 4 5 4" xfId="3232" xr:uid="{78475B27-3AD8-460F-9EC2-50E4DCDD1A0E}"/>
    <cellStyle name="Millares 3 4 6" xfId="2047" xr:uid="{F4F8118F-9439-40F3-B541-81DED3F04A10}"/>
    <cellStyle name="Millares 3 4 6 2" xfId="3629" xr:uid="{ADA4E03C-093E-4764-98A6-DE70584920EC}"/>
    <cellStyle name="Millares 3 4 7" xfId="1256" xr:uid="{F2050CE4-15AD-4DD5-83A1-D407EC9024A1}"/>
    <cellStyle name="Millares 3 4 8" xfId="2838" xr:uid="{BD1DD999-2735-4EA8-8036-74EC781F734F}"/>
    <cellStyle name="Millares 3 5" xfId="486" xr:uid="{656F4856-6707-424F-80CE-3091961BA0FA}"/>
    <cellStyle name="Millares 3 5 2" xfId="714" xr:uid="{BC1A4AAC-435C-4142-A10B-2F2EBF5F3973}"/>
    <cellStyle name="Millares 3 5 2 2" xfId="1114" xr:uid="{AA5E812D-28BB-4BCC-B202-322BE7130681}"/>
    <cellStyle name="Millares 3 5 2 2 2" xfId="2697" xr:uid="{99CA72CC-DD4B-42D4-B598-0F9BEDADBFE1}"/>
    <cellStyle name="Millares 3 5 2 2 2 2" xfId="4279" xr:uid="{6F6E3B97-3045-4261-8DA1-401971CDFFB8}"/>
    <cellStyle name="Millares 3 5 2 2 3" xfId="1906" xr:uid="{D41DFBD3-1DDF-444D-B450-25B2D62D5B93}"/>
    <cellStyle name="Millares 3 5 2 2 4" xfId="3488" xr:uid="{9B6897C2-BA05-4FC8-9172-336159B52649}"/>
    <cellStyle name="Millares 3 5 2 3" xfId="2303" xr:uid="{E525E820-A95B-4026-8953-1B4B35DCADCF}"/>
    <cellStyle name="Millares 3 5 2 3 2" xfId="3885" xr:uid="{8B5DBA6B-ADA2-431C-A75E-895AB89C76EB}"/>
    <cellStyle name="Millares 3 5 2 4" xfId="1512" xr:uid="{BFACCFCB-D1C8-43C0-909B-CDC9D077851F}"/>
    <cellStyle name="Millares 3 5 2 5" xfId="3094" xr:uid="{B1A8F132-6B7F-4FE6-8D04-05B1A7CA8570}"/>
    <cellStyle name="Millares 3 5 3" xfId="893" xr:uid="{26879319-6889-4C1A-824D-F3EB3CA44D52}"/>
    <cellStyle name="Millares 3 5 3 2" xfId="2476" xr:uid="{388EDF7D-D3CB-47EB-A1A9-9E687FEEEC49}"/>
    <cellStyle name="Millares 3 5 3 2 2" xfId="4058" xr:uid="{D644047C-A5DD-4692-B16D-8F0B16865814}"/>
    <cellStyle name="Millares 3 5 3 3" xfId="1685" xr:uid="{B0B306FD-E363-4437-B4A9-D4CC0D24C105}"/>
    <cellStyle name="Millares 3 5 3 4" xfId="3267" xr:uid="{E8BA5D4E-BB40-4F88-89BA-B12E7E96D0BD}"/>
    <cellStyle name="Millares 3 5 4" xfId="2082" xr:uid="{9E2296F9-2D96-4B13-870A-973599D042D1}"/>
    <cellStyle name="Millares 3 5 4 2" xfId="3664" xr:uid="{3B1EE392-6439-44FA-A599-51894BEAABBB}"/>
    <cellStyle name="Millares 3 5 5" xfId="1291" xr:uid="{380F4363-4AE4-4E41-B7CC-0CF2588D43CE}"/>
    <cellStyle name="Millares 3 5 6" xfId="2873" xr:uid="{DF608417-7CB5-4119-B029-B6A7C412578A}"/>
    <cellStyle name="Millares 3 6" xfId="563" xr:uid="{EA41597E-7B1C-42D1-A784-EBBED60AA538}"/>
    <cellStyle name="Millares 3 6 2" xfId="970" xr:uid="{D935D9D4-C626-43E2-930A-EE3BE3FD1131}"/>
    <cellStyle name="Millares 3 6 2 2" xfId="2553" xr:uid="{2BE8C6D6-F4F8-41B7-898C-0BEFDBA64FD3}"/>
    <cellStyle name="Millares 3 6 2 2 2" xfId="4135" xr:uid="{538720F2-1C7F-4D7D-9FF3-CD8D9C60379E}"/>
    <cellStyle name="Millares 3 6 2 3" xfId="1762" xr:uid="{754D64D3-55A9-478A-9960-ADE17CEA99BE}"/>
    <cellStyle name="Millares 3 6 2 4" xfId="3344" xr:uid="{F388CD64-4385-4DAB-A030-C1A2B45AC2F5}"/>
    <cellStyle name="Millares 3 6 3" xfId="2159" xr:uid="{68532043-E646-46F8-A032-9596A9772F11}"/>
    <cellStyle name="Millares 3 6 3 2" xfId="3741" xr:uid="{A9E4E91E-29DC-4546-8EF4-8BD715BE7803}"/>
    <cellStyle name="Millares 3 6 4" xfId="1368" xr:uid="{F7BD25EA-D3BD-4282-A90D-EFC1CB9C8A41}"/>
    <cellStyle name="Millares 3 6 5" xfId="2950" xr:uid="{0A64992E-D3AC-4559-8D00-31B143F8DDAB}"/>
    <cellStyle name="Millares 3 7" xfId="638" xr:uid="{1F733052-AFC1-468A-A424-306CA59E5BE0}"/>
    <cellStyle name="Millares 3 7 2" xfId="1038" xr:uid="{7906A4A4-303E-4260-935E-659B8764260B}"/>
    <cellStyle name="Millares 3 7 2 2" xfId="2621" xr:uid="{95284D94-CBCD-47FD-8699-490E7BDA29CA}"/>
    <cellStyle name="Millares 3 7 2 2 2" xfId="4203" xr:uid="{4FD02A4F-5E03-4A54-B1CB-30780A977317}"/>
    <cellStyle name="Millares 3 7 2 3" xfId="1830" xr:uid="{DCFEEA19-6D8C-4D52-B726-ED3999195A9A}"/>
    <cellStyle name="Millares 3 7 2 4" xfId="3412" xr:uid="{CED8154A-FADD-410E-9660-4B3C622B58AF}"/>
    <cellStyle name="Millares 3 7 3" xfId="2227" xr:uid="{1433BEE5-D29C-4132-B5E8-636EA6DA3678}"/>
    <cellStyle name="Millares 3 7 3 2" xfId="3809" xr:uid="{A91C589F-4031-4463-8321-073A03BA2B8A}"/>
    <cellStyle name="Millares 3 7 4" xfId="1436" xr:uid="{BB70A464-E67C-48EF-9609-6CA90ABE60B0}"/>
    <cellStyle name="Millares 3 7 5" xfId="3018" xr:uid="{29F9B97C-E180-498C-B1F4-92642AE33223}"/>
    <cellStyle name="Millares 3 8" xfId="790" xr:uid="{8E11F45E-A186-42B1-A8FA-B77638B7A9DF}"/>
    <cellStyle name="Millares 3 8 2" xfId="1190" xr:uid="{F40D1715-2230-4073-8C03-DC79F6D4FC0F}"/>
    <cellStyle name="Millares 3 8 2 2" xfId="2773" xr:uid="{142DD554-861C-4A51-A2BE-93AEAF1D70EA}"/>
    <cellStyle name="Millares 3 8 2 2 2" xfId="4355" xr:uid="{01C3BB10-4586-46EA-BF03-009A9159FD12}"/>
    <cellStyle name="Millares 3 8 2 3" xfId="1982" xr:uid="{D7DC3E44-4FB2-4EA1-B699-A0BDC7635562}"/>
    <cellStyle name="Millares 3 8 2 4" xfId="3564" xr:uid="{AB07BC72-BF64-4594-B657-66598481BD5E}"/>
    <cellStyle name="Millares 3 8 3" xfId="2379" xr:uid="{855B243B-0413-4E86-BEA5-ADCC0DEE2C72}"/>
    <cellStyle name="Millares 3 8 3 2" xfId="3961" xr:uid="{DC8FD35A-B845-4C60-97D3-35ADD4D79573}"/>
    <cellStyle name="Millares 3 8 4" xfId="1588" xr:uid="{A5295D9D-3149-4A40-8EF9-355C5B38995E}"/>
    <cellStyle name="Millares 3 8 5" xfId="3170" xr:uid="{939638F6-1123-41AC-A4AE-A04F621F5761}"/>
    <cellStyle name="Millares 3 9" xfId="817" xr:uid="{3144DBC2-E20F-47B7-8A4A-0C1DF28C4D31}"/>
    <cellStyle name="Millares 3 9 2" xfId="2400" xr:uid="{0F782621-1972-42E4-9BC0-9F8EBBD077B3}"/>
    <cellStyle name="Millares 3 9 2 2" xfId="3982" xr:uid="{7EE61A24-80B1-4B29-B97A-61EC8012FF36}"/>
    <cellStyle name="Millares 3 9 3" xfId="1609" xr:uid="{DC9DD2D5-743F-4355-8780-88BDFC716774}"/>
    <cellStyle name="Millares 3 9 4" xfId="3191" xr:uid="{BFDF47E2-B6CC-42DF-B3DC-56123BD28610}"/>
    <cellStyle name="Millares 30" xfId="470" xr:uid="{C66AFA1D-760D-4A73-9581-F594D4D2075D}"/>
    <cellStyle name="Millares 30 2" xfId="546" xr:uid="{FAF5D046-B14A-482B-87EC-CCD36B336BC8}"/>
    <cellStyle name="Millares 30 2 2" xfId="774" xr:uid="{39627F52-62A8-42AE-8151-C4622BC87099}"/>
    <cellStyle name="Millares 30 2 2 2" xfId="1174" xr:uid="{9C146D5F-8EC9-4BFC-8DCC-3D4340251AA1}"/>
    <cellStyle name="Millares 30 2 2 2 2" xfId="2757" xr:uid="{27FDBEA7-0FC9-4AA9-A91E-70DD3FC9616E}"/>
    <cellStyle name="Millares 30 2 2 2 2 2" xfId="4339" xr:uid="{739F3E1C-FA48-4CC6-8C6B-F6BA3C92BB08}"/>
    <cellStyle name="Millares 30 2 2 2 3" xfId="1966" xr:uid="{8055BCFF-7D5B-46E0-BD80-ED80C42023A3}"/>
    <cellStyle name="Millares 30 2 2 2 4" xfId="3548" xr:uid="{B327EEBF-205D-4AF2-A7D9-92AA16CDF82E}"/>
    <cellStyle name="Millares 30 2 2 3" xfId="2363" xr:uid="{B53280DF-B05E-4188-8DAE-90A696D46134}"/>
    <cellStyle name="Millares 30 2 2 3 2" xfId="3945" xr:uid="{D628A0EB-18DE-454E-A075-1AC7183F6521}"/>
    <cellStyle name="Millares 30 2 2 4" xfId="1572" xr:uid="{3A239028-9356-4962-ACEB-70179E187C8C}"/>
    <cellStyle name="Millares 30 2 2 5" xfId="3154" xr:uid="{14513E89-23FB-407F-AA79-722E82069F57}"/>
    <cellStyle name="Millares 30 2 3" xfId="953" xr:uid="{588DAB99-A245-4901-B7F5-9F8C9ABF843F}"/>
    <cellStyle name="Millares 30 2 3 2" xfId="2536" xr:uid="{41011FBE-C7DF-45A8-A26A-005D0ECC0E29}"/>
    <cellStyle name="Millares 30 2 3 2 2" xfId="4118" xr:uid="{EF309A69-A8B7-4CCE-AF59-852CC206A8F8}"/>
    <cellStyle name="Millares 30 2 3 3" xfId="1745" xr:uid="{27BC22C2-7957-4ABE-ACE4-DF776316D0B4}"/>
    <cellStyle name="Millares 30 2 3 4" xfId="3327" xr:uid="{52D3F3A5-FCD6-4F54-9A09-4340EF788EFF}"/>
    <cellStyle name="Millares 30 2 4" xfId="2142" xr:uid="{86128A26-2C0E-4090-A39B-9EAEA7E18606}"/>
    <cellStyle name="Millares 30 2 4 2" xfId="3724" xr:uid="{38F67700-5A6F-4623-8788-6A2548FD679A}"/>
    <cellStyle name="Millares 30 2 5" xfId="1351" xr:uid="{D3EE2A1E-8F02-4FA7-A028-C7A8189A5E9B}"/>
    <cellStyle name="Millares 30 2 6" xfId="2933" xr:uid="{DCA0669D-4517-4DD4-8442-40EEAA88409E}"/>
    <cellStyle name="Millares 30 3" xfId="623" xr:uid="{FB4598F9-5272-4DD8-A498-E0E31F908CED}"/>
    <cellStyle name="Millares 30 3 2" xfId="1030" xr:uid="{0A448CA9-F969-4BD2-9B38-4D28BDC43D3B}"/>
    <cellStyle name="Millares 30 3 2 2" xfId="2613" xr:uid="{AD75C705-7D6C-4927-85F5-650369D6C5BB}"/>
    <cellStyle name="Millares 30 3 2 2 2" xfId="4195" xr:uid="{8D0AF59D-488B-4F28-8F14-A6011DEE1C2B}"/>
    <cellStyle name="Millares 30 3 2 3" xfId="1822" xr:uid="{72ECCDF8-FD94-47CF-93F4-CE1B73F17571}"/>
    <cellStyle name="Millares 30 3 2 4" xfId="3404" xr:uid="{5EB27CB4-6E14-443B-AC54-71FC1CC8E0E5}"/>
    <cellStyle name="Millares 30 3 3" xfId="2219" xr:uid="{172BEC76-991D-4062-8028-CEE6C553F5A3}"/>
    <cellStyle name="Millares 30 3 3 2" xfId="3801" xr:uid="{E5AC9D33-04E0-454F-B550-C7128BC5AF1E}"/>
    <cellStyle name="Millares 30 3 4" xfId="1428" xr:uid="{39E4090A-25B7-4C6F-BE53-C536B414A5B4}"/>
    <cellStyle name="Millares 30 3 5" xfId="3010" xr:uid="{2D2AA19B-B5D3-40BA-9270-4B1F303B6694}"/>
    <cellStyle name="Millares 30 4" xfId="698" xr:uid="{4404E2F7-8963-4C76-8CDA-0944DDE3832A}"/>
    <cellStyle name="Millares 30 4 2" xfId="1098" xr:uid="{4031A13D-4DA8-4C5E-AF00-EF0201CD6F88}"/>
    <cellStyle name="Millares 30 4 2 2" xfId="2681" xr:uid="{E6A60DBA-276C-4359-A532-568D9E33C64F}"/>
    <cellStyle name="Millares 30 4 2 2 2" xfId="4263" xr:uid="{48A0BEF3-227D-4A4E-A497-FBB5F0FE5A5B}"/>
    <cellStyle name="Millares 30 4 2 3" xfId="1890" xr:uid="{89CBBA6D-E91D-436B-807C-4C74AD1E99BC}"/>
    <cellStyle name="Millares 30 4 2 4" xfId="3472" xr:uid="{557C885F-0B15-45A1-A2E9-308689C22841}"/>
    <cellStyle name="Millares 30 4 3" xfId="2287" xr:uid="{FECC20A4-616E-4256-95DB-619789FF37D0}"/>
    <cellStyle name="Millares 30 4 3 2" xfId="3869" xr:uid="{DF0BED3B-1B6F-4181-AB71-EE7956B72EDB}"/>
    <cellStyle name="Millares 30 4 4" xfId="1496" xr:uid="{3589C7D2-C43F-485F-B8DA-659237867F4B}"/>
    <cellStyle name="Millares 30 4 5" xfId="3078" xr:uid="{16415209-7CD7-4C21-A2E9-14BFB37C31E3}"/>
    <cellStyle name="Millares 30 5" xfId="877" xr:uid="{30C25371-D0A6-4AAD-A06A-841308F7CF9E}"/>
    <cellStyle name="Millares 30 5 2" xfId="2460" xr:uid="{E1013D34-28AB-4EBB-BF57-69FFA8672481}"/>
    <cellStyle name="Millares 30 5 2 2" xfId="4042" xr:uid="{58516E83-AA0E-4234-9D53-0A184A150C24}"/>
    <cellStyle name="Millares 30 5 3" xfId="1669" xr:uid="{4879FC4C-EE39-4A31-94A0-8552336CFAED}"/>
    <cellStyle name="Millares 30 5 4" xfId="3251" xr:uid="{385E06C2-DC36-46AB-AE15-7B634D6F68DB}"/>
    <cellStyle name="Millares 30 6" xfId="2066" xr:uid="{E1F8F2D6-8503-461A-9DCA-303FB54721C1}"/>
    <cellStyle name="Millares 30 6 2" xfId="3648" xr:uid="{FA78687A-5F1E-4E04-BAD6-70BCE9F02A12}"/>
    <cellStyle name="Millares 30 7" xfId="1275" xr:uid="{6FC0C730-9662-4E73-A329-89574637F70C}"/>
    <cellStyle name="Millares 30 8" xfId="2857" xr:uid="{35FFF7DD-F4F1-404B-9C13-406AB224BF42}"/>
    <cellStyle name="Millares 31" xfId="384" xr:uid="{74939FA9-F510-4742-AB2B-67DCFE1B013C}"/>
    <cellStyle name="Millares 31 2" xfId="505" xr:uid="{38FA7D30-DACA-4F30-AADB-310C72B120B3}"/>
    <cellStyle name="Millares 31 2 2" xfId="733" xr:uid="{29E5B733-82C4-469D-9EF8-6040ECDD9B6C}"/>
    <cellStyle name="Millares 31 2 2 2" xfId="1133" xr:uid="{14E2441A-84AB-4191-A21C-612C8DDAEB65}"/>
    <cellStyle name="Millares 31 2 2 2 2" xfId="2716" xr:uid="{C99969F6-276B-450C-80F1-615DC035F595}"/>
    <cellStyle name="Millares 31 2 2 2 2 2" xfId="4298" xr:uid="{B5A8F45A-710E-47F3-B32C-D7CE5B266682}"/>
    <cellStyle name="Millares 31 2 2 2 3" xfId="1925" xr:uid="{1FA9FFEC-C133-4568-81E4-EC05C9C12DB0}"/>
    <cellStyle name="Millares 31 2 2 2 4" xfId="3507" xr:uid="{853A414C-3F79-4002-95F2-3A7BE674EA0B}"/>
    <cellStyle name="Millares 31 2 2 3" xfId="2322" xr:uid="{845B0046-FD8C-4B66-8200-64194DA3BB12}"/>
    <cellStyle name="Millares 31 2 2 3 2" xfId="3904" xr:uid="{AE5B13D4-7CF7-4A54-B91F-117A038A0348}"/>
    <cellStyle name="Millares 31 2 2 4" xfId="1531" xr:uid="{6CC80E28-1690-4694-A19E-E4AB643F4698}"/>
    <cellStyle name="Millares 31 2 2 5" xfId="3113" xr:uid="{2088A5F4-64FC-46C9-8944-C0615218DABC}"/>
    <cellStyle name="Millares 31 2 3" xfId="912" xr:uid="{C8E7F928-A59A-4FE8-AC19-0CBC7F878636}"/>
    <cellStyle name="Millares 31 2 3 2" xfId="2495" xr:uid="{7076A579-332B-41B6-8696-7B04B58A7EF8}"/>
    <cellStyle name="Millares 31 2 3 2 2" xfId="4077" xr:uid="{D0BFF7E2-C73F-4B7F-A24A-E553C42DE810}"/>
    <cellStyle name="Millares 31 2 3 3" xfId="1704" xr:uid="{5342D9D8-590A-4E89-BF8A-A0F9A6A4D2F3}"/>
    <cellStyle name="Millares 31 2 3 4" xfId="3286" xr:uid="{76DF248E-24A9-4319-926F-B5FE9457D800}"/>
    <cellStyle name="Millares 31 2 4" xfId="2101" xr:uid="{1D380553-D4BC-485A-B46F-894008B9921B}"/>
    <cellStyle name="Millares 31 2 4 2" xfId="3683" xr:uid="{75B214CD-DBF2-4B05-AD27-5A00F31B2451}"/>
    <cellStyle name="Millares 31 2 5" xfId="1310" xr:uid="{401C865F-E053-4F66-AD21-46FD1CAC3EDF}"/>
    <cellStyle name="Millares 31 2 6" xfId="2892" xr:uid="{3FAE1BC5-7299-48F5-A15F-59A90897F796}"/>
    <cellStyle name="Millares 31 3" xfId="582" xr:uid="{9DA471B7-174B-4412-8210-4695A109D227}"/>
    <cellStyle name="Millares 31 3 2" xfId="989" xr:uid="{B2F7EEEE-E9F0-46AF-863C-ECD0FDC4C689}"/>
    <cellStyle name="Millares 31 3 2 2" xfId="2572" xr:uid="{6F6D9A10-1A2F-4CC4-B3C4-773B93AFCC14}"/>
    <cellStyle name="Millares 31 3 2 2 2" xfId="4154" xr:uid="{272486CD-434E-4681-8F3C-13195C8ECE5B}"/>
    <cellStyle name="Millares 31 3 2 3" xfId="1781" xr:uid="{71859AC8-47D0-45EE-A9BB-1AB3234DA1E2}"/>
    <cellStyle name="Millares 31 3 2 4" xfId="3363" xr:uid="{D46ADD18-3BCA-455D-A6DE-681B2674C4E3}"/>
    <cellStyle name="Millares 31 3 3" xfId="2178" xr:uid="{40107ABA-6F8C-4710-A4D4-BF5FFDED10C4}"/>
    <cellStyle name="Millares 31 3 3 2" xfId="3760" xr:uid="{62DCC9E7-BCD2-47C1-99A5-A6A2A127FA76}"/>
    <cellStyle name="Millares 31 3 4" xfId="1387" xr:uid="{D10CB710-04E0-4DE6-9A3F-B78C07BEDBF6}"/>
    <cellStyle name="Millares 31 3 5" xfId="2969" xr:uid="{2D6E7335-5CB1-432C-AC4D-BDDE03280863}"/>
    <cellStyle name="Millares 31 4" xfId="657" xr:uid="{CD91FF64-D7D0-42B8-892B-509A6CE8B380}"/>
    <cellStyle name="Millares 31 4 2" xfId="1057" xr:uid="{96A053E7-7BA7-4781-A36E-A51588B40DD6}"/>
    <cellStyle name="Millares 31 4 2 2" xfId="2640" xr:uid="{93A1F134-5CEA-4D08-BA06-3EBAE31D1908}"/>
    <cellStyle name="Millares 31 4 2 2 2" xfId="4222" xr:uid="{774A30C7-E6B8-4A8F-9AF4-90D801F8884A}"/>
    <cellStyle name="Millares 31 4 2 3" xfId="1849" xr:uid="{DC336674-0604-44C8-8C60-8C8AA4A7B1C6}"/>
    <cellStyle name="Millares 31 4 2 4" xfId="3431" xr:uid="{3FF69BF3-6711-44FD-B03E-CD2B3DB2A4A2}"/>
    <cellStyle name="Millares 31 4 3" xfId="2246" xr:uid="{C245B3E4-D3BC-430D-8EAC-818A4D5124E4}"/>
    <cellStyle name="Millares 31 4 3 2" xfId="3828" xr:uid="{03DC7A19-17F0-4C51-BF8E-374928E2C1D5}"/>
    <cellStyle name="Millares 31 4 4" xfId="1455" xr:uid="{FF24DD60-3644-4AA0-A9BD-8AC6FEE39412}"/>
    <cellStyle name="Millares 31 4 5" xfId="3037" xr:uid="{8A7C023B-D7D2-430D-B460-57F9DF174133}"/>
    <cellStyle name="Millares 31 5" xfId="836" xr:uid="{2C1C5CA6-F798-4673-923B-E12DD6E5017B}"/>
    <cellStyle name="Millares 31 5 2" xfId="2419" xr:uid="{275939B4-B79A-424C-B163-E41816217B8F}"/>
    <cellStyle name="Millares 31 5 2 2" xfId="4001" xr:uid="{AEE2B983-1D68-4C29-B55B-EB2977691795}"/>
    <cellStyle name="Millares 31 5 3" xfId="1628" xr:uid="{170BC6B5-9C95-4920-9DF0-1790F0016028}"/>
    <cellStyle name="Millares 31 5 4" xfId="3210" xr:uid="{65E82CFC-D430-4F46-97C5-6D3182241619}"/>
    <cellStyle name="Millares 31 6" xfId="2025" xr:uid="{9269B7A1-AA75-43B1-B5F6-2DDE462F1F30}"/>
    <cellStyle name="Millares 31 6 2" xfId="3607" xr:uid="{F6FEDB89-3AE0-44CA-BA57-4C93C763D116}"/>
    <cellStyle name="Millares 31 7" xfId="1234" xr:uid="{04A7C12A-7FAC-4889-96BC-5A5E6EEAF6F4}"/>
    <cellStyle name="Millares 31 8" xfId="2816" xr:uid="{3FAE251E-E358-42A3-BDE9-6EC03A1C709E}"/>
    <cellStyle name="Millares 32" xfId="394" xr:uid="{957C3482-72E2-484E-B102-8C0C51E97B44}"/>
    <cellStyle name="Millares 32 2" xfId="515" xr:uid="{382B972C-8EEF-4799-BDAA-B3F37EDCBDAA}"/>
    <cellStyle name="Millares 32 2 2" xfId="743" xr:uid="{0ADDE15D-35B6-43BA-B795-B1C5C46C4514}"/>
    <cellStyle name="Millares 32 2 2 2" xfId="1143" xr:uid="{3A8126B6-100B-468A-8262-C44484E14E01}"/>
    <cellStyle name="Millares 32 2 2 2 2" xfId="2726" xr:uid="{8F1FB56D-A4A7-455E-A23F-67CC7282B0F7}"/>
    <cellStyle name="Millares 32 2 2 2 2 2" xfId="4308" xr:uid="{B4637DA9-1B4E-4EA6-ADA6-60A88397324A}"/>
    <cellStyle name="Millares 32 2 2 2 3" xfId="1935" xr:uid="{797E6073-A5A2-40E1-8249-FAAD2B9B0314}"/>
    <cellStyle name="Millares 32 2 2 2 4" xfId="3517" xr:uid="{33177AFF-F023-4EBB-9FE8-80BC40763639}"/>
    <cellStyle name="Millares 32 2 2 3" xfId="2332" xr:uid="{801EEFD9-7B9E-4CA4-B700-E99072ECC26E}"/>
    <cellStyle name="Millares 32 2 2 3 2" xfId="3914" xr:uid="{81C26015-0DA6-4434-8916-142C4C689B1F}"/>
    <cellStyle name="Millares 32 2 2 4" xfId="1541" xr:uid="{65C80549-C39F-4B0C-9798-AC3B1828D71F}"/>
    <cellStyle name="Millares 32 2 2 5" xfId="3123" xr:uid="{544891E7-4F96-4541-A329-9A096B376663}"/>
    <cellStyle name="Millares 32 2 3" xfId="922" xr:uid="{57D4C6E8-B2E1-48BF-99EE-26D82AD25061}"/>
    <cellStyle name="Millares 32 2 3 2" xfId="2505" xr:uid="{631AF7A0-7CD5-455D-A68A-9945DE00F2C3}"/>
    <cellStyle name="Millares 32 2 3 2 2" xfId="4087" xr:uid="{F117EA36-3B55-4327-B112-D936A81374D4}"/>
    <cellStyle name="Millares 32 2 3 3" xfId="1714" xr:uid="{A84A5DF3-E638-4CB1-875F-4DED7E26D074}"/>
    <cellStyle name="Millares 32 2 3 4" xfId="3296" xr:uid="{86DD31A8-ED5D-49E6-BF61-C701EF2BD052}"/>
    <cellStyle name="Millares 32 2 4" xfId="2111" xr:uid="{98AF7A5F-B8C4-46D9-A8FF-5ECA5A499FB4}"/>
    <cellStyle name="Millares 32 2 4 2" xfId="3693" xr:uid="{CB04DE9E-A657-4939-A438-C6F6F8A8AAC2}"/>
    <cellStyle name="Millares 32 2 5" xfId="1320" xr:uid="{44C69DB4-120A-4B39-8561-2D679FCE09E8}"/>
    <cellStyle name="Millares 32 2 6" xfId="2902" xr:uid="{CE48CDDB-6F7C-41F5-A679-BE280E5F5303}"/>
    <cellStyle name="Millares 32 3" xfId="592" xr:uid="{48365501-B098-43B6-B8EC-B492BFDC0373}"/>
    <cellStyle name="Millares 32 3 2" xfId="999" xr:uid="{FF69F380-E821-4ECA-8987-017D8166189B}"/>
    <cellStyle name="Millares 32 3 2 2" xfId="2582" xr:uid="{D31BB9BE-BB29-47DB-81EE-1A0B53406ED3}"/>
    <cellStyle name="Millares 32 3 2 2 2" xfId="4164" xr:uid="{AAA45926-9843-4D59-B685-5D829C3AE72A}"/>
    <cellStyle name="Millares 32 3 2 3" xfId="1791" xr:uid="{0129D4A0-103D-4134-ABB4-099A812D96CD}"/>
    <cellStyle name="Millares 32 3 2 4" xfId="3373" xr:uid="{2E06E5FB-8EE0-4D2E-BEF1-9C881CCF7ADE}"/>
    <cellStyle name="Millares 32 3 3" xfId="2188" xr:uid="{00B49DA8-2D2D-431C-9F1F-F1548E272CB3}"/>
    <cellStyle name="Millares 32 3 3 2" xfId="3770" xr:uid="{B16D234C-CA56-419A-A116-A0D6C5251B20}"/>
    <cellStyle name="Millares 32 3 4" xfId="1397" xr:uid="{8323984D-5CEC-4ADB-B216-B1C7E62EF2A4}"/>
    <cellStyle name="Millares 32 3 5" xfId="2979" xr:uid="{3F8CDD50-597F-476F-9C7E-6D66813C0556}"/>
    <cellStyle name="Millares 32 4" xfId="667" xr:uid="{64F2FA3F-AFE9-4A15-9230-D115158B5922}"/>
    <cellStyle name="Millares 32 4 2" xfId="1067" xr:uid="{659E55DE-E207-4298-A6F0-6DDD9BCE876B}"/>
    <cellStyle name="Millares 32 4 2 2" xfId="2650" xr:uid="{68400B97-D701-4BD3-B5D9-F4A66A2CB426}"/>
    <cellStyle name="Millares 32 4 2 2 2" xfId="4232" xr:uid="{9B576891-0E3B-4184-AD16-1C6811EA61F9}"/>
    <cellStyle name="Millares 32 4 2 3" xfId="1859" xr:uid="{2EDEC1B4-2D8A-42C4-BEA5-6F2712189624}"/>
    <cellStyle name="Millares 32 4 2 4" xfId="3441" xr:uid="{42BEF6BD-CC0C-4F66-AAA2-5A878588B419}"/>
    <cellStyle name="Millares 32 4 3" xfId="2256" xr:uid="{4D2A849D-1C89-4A3E-8240-FB03AA438F85}"/>
    <cellStyle name="Millares 32 4 3 2" xfId="3838" xr:uid="{4CE4AA58-784A-4810-A061-A9E0F4BDAEBE}"/>
    <cellStyle name="Millares 32 4 4" xfId="1465" xr:uid="{229B1299-46CC-494F-A59A-731A047E2919}"/>
    <cellStyle name="Millares 32 4 5" xfId="3047" xr:uid="{21F8AD82-7588-4198-A5FA-F34EDF320EBC}"/>
    <cellStyle name="Millares 32 5" xfId="846" xr:uid="{073B108C-5CFB-4B22-A40F-89883DA93039}"/>
    <cellStyle name="Millares 32 5 2" xfId="2429" xr:uid="{EC726E89-8E01-4355-8ABF-A3B5E238F941}"/>
    <cellStyle name="Millares 32 5 2 2" xfId="4011" xr:uid="{1938C39B-C0EF-40AF-B68F-CECA95A4E142}"/>
    <cellStyle name="Millares 32 5 3" xfId="1638" xr:uid="{1C9C7B1D-9CA4-406C-B69B-0E4D812DC614}"/>
    <cellStyle name="Millares 32 5 4" xfId="3220" xr:uid="{547E9246-C97B-4888-B24B-E520AB6BEA7A}"/>
    <cellStyle name="Millares 32 6" xfId="2035" xr:uid="{29781A57-7E87-4899-9412-050541514709}"/>
    <cellStyle name="Millares 32 6 2" xfId="3617" xr:uid="{7547505D-7AC4-4CEB-9F99-49BAA1B502D2}"/>
    <cellStyle name="Millares 32 7" xfId="1244" xr:uid="{766365F0-8529-4682-8578-0300254EB387}"/>
    <cellStyle name="Millares 32 8" xfId="2826" xr:uid="{775D7ED1-DC03-4F49-BB6C-C2EEEE01CA0E}"/>
    <cellStyle name="Millares 33" xfId="475" xr:uid="{A8653098-A989-41AB-AFE4-62310DA1D3E9}"/>
    <cellStyle name="Millares 33 2" xfId="551" xr:uid="{E3402658-D853-41C5-A5BB-E799B3BD28CC}"/>
    <cellStyle name="Millares 33 2 2" xfId="779" xr:uid="{34C4A602-819E-4DD6-B622-9C08CB0D4664}"/>
    <cellStyle name="Millares 33 2 2 2" xfId="1179" xr:uid="{A41A1A91-2756-4D7C-8CDB-F82F2F8D149A}"/>
    <cellStyle name="Millares 33 2 2 2 2" xfId="2762" xr:uid="{F77FDDBC-1281-45D1-9FBC-E62C10978537}"/>
    <cellStyle name="Millares 33 2 2 2 2 2" xfId="4344" xr:uid="{44FBD6FB-08CB-4FE5-9D03-D4CF96113D94}"/>
    <cellStyle name="Millares 33 2 2 2 3" xfId="1971" xr:uid="{729C2C44-9DCA-4A90-AC69-52DDB1CFA939}"/>
    <cellStyle name="Millares 33 2 2 2 4" xfId="3553" xr:uid="{D5522FEA-2FA5-45FA-95C0-BBB443080ED3}"/>
    <cellStyle name="Millares 33 2 2 3" xfId="2368" xr:uid="{401CEFB8-1967-4345-9E3E-B4FF64B88F97}"/>
    <cellStyle name="Millares 33 2 2 3 2" xfId="3950" xr:uid="{F3032378-3F3E-4532-A13D-E77049A162D8}"/>
    <cellStyle name="Millares 33 2 2 4" xfId="1577" xr:uid="{C9AA79EA-4F24-4C4E-9308-4C81C5FDB7C2}"/>
    <cellStyle name="Millares 33 2 2 5" xfId="3159" xr:uid="{873DE7DD-2BE3-44BC-AA80-28D215CDD744}"/>
    <cellStyle name="Millares 33 2 3" xfId="958" xr:uid="{EF7928B7-6057-4856-AD40-85E30356AF71}"/>
    <cellStyle name="Millares 33 2 3 2" xfId="2541" xr:uid="{E71943F0-EAA5-4DE2-9456-34A6AAB68B34}"/>
    <cellStyle name="Millares 33 2 3 2 2" xfId="4123" xr:uid="{15D685B5-0530-4777-ABD8-926876BD183D}"/>
    <cellStyle name="Millares 33 2 3 3" xfId="1750" xr:uid="{BAE264B5-00F5-491C-AED2-E97A29D9FAE9}"/>
    <cellStyle name="Millares 33 2 3 4" xfId="3332" xr:uid="{6B299FCD-1EB9-439B-98F7-69CAEA63DAE6}"/>
    <cellStyle name="Millares 33 2 4" xfId="2147" xr:uid="{DD4B6CAF-31BD-49A4-88DA-71375C68272B}"/>
    <cellStyle name="Millares 33 2 4 2" xfId="3729" xr:uid="{6EEF6BA6-F7ED-42A9-B384-A62C3D6E3FDB}"/>
    <cellStyle name="Millares 33 2 5" xfId="1356" xr:uid="{4CF34593-13FA-4A8F-9590-4E7EC4111B73}"/>
    <cellStyle name="Millares 33 2 6" xfId="2938" xr:uid="{CEAB0C5A-3350-47D7-907B-054F16A2694E}"/>
    <cellStyle name="Millares 33 3" xfId="628" xr:uid="{DB955541-A9E2-4480-9097-1F6FB32B69E4}"/>
    <cellStyle name="Millares 33 3 2" xfId="1035" xr:uid="{4123F19A-5775-456C-BA36-C5247978161C}"/>
    <cellStyle name="Millares 33 3 2 2" xfId="2618" xr:uid="{B8198141-2E41-4DF0-80AA-FBF577E1140F}"/>
    <cellStyle name="Millares 33 3 2 2 2" xfId="4200" xr:uid="{9721F5CF-9645-4B78-AF66-0ADD0FE07BB2}"/>
    <cellStyle name="Millares 33 3 2 3" xfId="1827" xr:uid="{1F6A281F-4C2A-4934-8D51-89ED93D9A233}"/>
    <cellStyle name="Millares 33 3 2 4" xfId="3409" xr:uid="{E611F96F-89E6-4431-A938-EDC71FBB2FA0}"/>
    <cellStyle name="Millares 33 3 3" xfId="2224" xr:uid="{F0110C9A-F45A-4260-9422-C8944EE95EB9}"/>
    <cellStyle name="Millares 33 3 3 2" xfId="3806" xr:uid="{4B292356-191F-4DC8-B77F-927844A2AF94}"/>
    <cellStyle name="Millares 33 3 4" xfId="1433" xr:uid="{6954E9D6-3DE4-4EE0-A97B-008E0D076FD5}"/>
    <cellStyle name="Millares 33 3 5" xfId="3015" xr:uid="{AAB2703D-0A7A-46CD-927B-A736BCB29268}"/>
    <cellStyle name="Millares 33 4" xfId="703" xr:uid="{C97E0C3A-2A24-49FF-8E51-466E1423F06C}"/>
    <cellStyle name="Millares 33 4 2" xfId="1103" xr:uid="{D7E2E044-3F13-4523-800B-E73B2094554C}"/>
    <cellStyle name="Millares 33 4 2 2" xfId="2686" xr:uid="{8AB1E5DF-7BB6-40B6-9B20-DAD958C8795C}"/>
    <cellStyle name="Millares 33 4 2 2 2" xfId="4268" xr:uid="{60C79378-D290-49A7-AF47-155625480104}"/>
    <cellStyle name="Millares 33 4 2 3" xfId="1895" xr:uid="{36C8EF71-FD5C-432C-ABAB-021E3AB1E485}"/>
    <cellStyle name="Millares 33 4 2 4" xfId="3477" xr:uid="{1906E8B7-6A73-4BB2-84C7-ECC576693842}"/>
    <cellStyle name="Millares 33 4 3" xfId="2292" xr:uid="{161B1922-6547-4722-8B39-C8B1757DE344}"/>
    <cellStyle name="Millares 33 4 3 2" xfId="3874" xr:uid="{A8286850-B214-49C5-81B7-C5736BD301DD}"/>
    <cellStyle name="Millares 33 4 4" xfId="1501" xr:uid="{A36376F2-A0B8-480C-9EE8-63329EAE9293}"/>
    <cellStyle name="Millares 33 4 5" xfId="3083" xr:uid="{29BB2E06-CFEE-45C9-AC2C-22DBEE802332}"/>
    <cellStyle name="Millares 33 5" xfId="882" xr:uid="{20A5A1DE-1FB5-4398-AA69-B8209BEDBBEC}"/>
    <cellStyle name="Millares 33 5 2" xfId="2465" xr:uid="{A252F386-E133-4883-B761-47C30049364D}"/>
    <cellStyle name="Millares 33 5 2 2" xfId="4047" xr:uid="{BCAFACB0-2A80-45AD-A003-A8B8BDC857E3}"/>
    <cellStyle name="Millares 33 5 3" xfId="1674" xr:uid="{D2800F62-C258-4B52-B207-372E65BC0552}"/>
    <cellStyle name="Millares 33 5 4" xfId="3256" xr:uid="{71A0CCD5-48A7-4B67-A9EE-1A5F540C9C54}"/>
    <cellStyle name="Millares 33 6" xfId="2071" xr:uid="{DF546234-6F55-4E8D-BA7B-697E21A06ED6}"/>
    <cellStyle name="Millares 33 6 2" xfId="3653" xr:uid="{BAB14869-FA99-49BC-B6B3-01AE16F018EA}"/>
    <cellStyle name="Millares 33 7" xfId="1280" xr:uid="{FFE95CF9-2A01-43C3-861B-71B1E0E33D6C}"/>
    <cellStyle name="Millares 33 8" xfId="2862" xr:uid="{C585E6DF-9F2A-400A-97AA-C090241D0E61}"/>
    <cellStyle name="Millares 34" xfId="403" xr:uid="{4A099015-F8D4-4D4D-805F-BC02CC137544}"/>
    <cellStyle name="Millares 34 2" xfId="521" xr:uid="{C3AF053A-3B09-4BA8-B264-15FB774DB809}"/>
    <cellStyle name="Millares 34 2 2" xfId="749" xr:uid="{E4C2E0B2-0377-4BA2-AA08-2E24272DB2BF}"/>
    <cellStyle name="Millares 34 2 2 2" xfId="1149" xr:uid="{A4A370CF-28EE-4401-99BA-41C315F62AA9}"/>
    <cellStyle name="Millares 34 2 2 2 2" xfId="2732" xr:uid="{6D212085-D0B3-43EC-B171-8BA1EF3F6589}"/>
    <cellStyle name="Millares 34 2 2 2 2 2" xfId="4314" xr:uid="{15A0D9F4-0BC7-48E4-9A11-FB7E1C1DAF09}"/>
    <cellStyle name="Millares 34 2 2 2 3" xfId="1941" xr:uid="{F0EE2D25-F095-406D-930D-F29E91E0B9A3}"/>
    <cellStyle name="Millares 34 2 2 2 4" xfId="3523" xr:uid="{E57AF3BC-9BA7-4827-9867-378B549F4B31}"/>
    <cellStyle name="Millares 34 2 2 3" xfId="2338" xr:uid="{74AD6247-F75B-4F4C-90A5-BDC36B0F30EE}"/>
    <cellStyle name="Millares 34 2 2 3 2" xfId="3920" xr:uid="{C5CB2E5F-13CF-46F2-8C9D-95897499FA95}"/>
    <cellStyle name="Millares 34 2 2 4" xfId="1547" xr:uid="{060763C8-DE88-4944-9314-B7BFC13BF277}"/>
    <cellStyle name="Millares 34 2 2 5" xfId="3129" xr:uid="{597B7038-CCE9-4391-BD11-DADD63C87F70}"/>
    <cellStyle name="Millares 34 2 3" xfId="928" xr:uid="{DDC5EC05-B360-4A1B-B4A8-742DF0CAA126}"/>
    <cellStyle name="Millares 34 2 3 2" xfId="2511" xr:uid="{303F074D-59EE-423D-A76C-0E1E82542CA0}"/>
    <cellStyle name="Millares 34 2 3 2 2" xfId="4093" xr:uid="{6D479DDE-376C-4A83-AF95-19D797B34746}"/>
    <cellStyle name="Millares 34 2 3 3" xfId="1720" xr:uid="{3B437054-F678-4A49-9BAA-FA776E0E1778}"/>
    <cellStyle name="Millares 34 2 3 4" xfId="3302" xr:uid="{D50995EB-DDD2-4905-96B8-069748E3991D}"/>
    <cellStyle name="Millares 34 2 4" xfId="2117" xr:uid="{368285CC-0471-4907-8EBE-CCA933E6CD1B}"/>
    <cellStyle name="Millares 34 2 4 2" xfId="3699" xr:uid="{3A638947-A9CD-43B5-ADCA-8C02326F57CB}"/>
    <cellStyle name="Millares 34 2 5" xfId="1326" xr:uid="{03CD496D-DDCB-4102-BC49-0F785BC62019}"/>
    <cellStyle name="Millares 34 2 6" xfId="2908" xr:uid="{25FC3ECE-8FFE-4013-AC4F-902EF95AF815}"/>
    <cellStyle name="Millares 34 3" xfId="598" xr:uid="{FC711EDC-128E-41B0-B121-4481C48C5829}"/>
    <cellStyle name="Millares 34 3 2" xfId="1005" xr:uid="{26E9C100-9CD0-4FE1-9609-7634F1C95248}"/>
    <cellStyle name="Millares 34 3 2 2" xfId="2588" xr:uid="{C68BC93A-8B62-45EA-BFDA-64B25EDABC7A}"/>
    <cellStyle name="Millares 34 3 2 2 2" xfId="4170" xr:uid="{6ABE20B9-9443-417E-8A29-630555422480}"/>
    <cellStyle name="Millares 34 3 2 3" xfId="1797" xr:uid="{12D1D58B-2CCD-4E56-A519-EE6A0F4FC5C5}"/>
    <cellStyle name="Millares 34 3 2 4" xfId="3379" xr:uid="{77C69289-FCC3-4AFB-9A85-456F39B56920}"/>
    <cellStyle name="Millares 34 3 3" xfId="2194" xr:uid="{96BF4EEB-83B2-4038-A8AB-140F24259C62}"/>
    <cellStyle name="Millares 34 3 3 2" xfId="3776" xr:uid="{BF82F6E5-500D-44AE-A208-2DDE2ECADD8F}"/>
    <cellStyle name="Millares 34 3 4" xfId="1403" xr:uid="{C435EF28-2701-41E3-8B91-B80F5F857A80}"/>
    <cellStyle name="Millares 34 3 5" xfId="2985" xr:uid="{85D24EE3-63B4-4EE0-80AC-81CADD2B52F9}"/>
    <cellStyle name="Millares 34 4" xfId="673" xr:uid="{CFBC2863-5408-4F53-992C-C50DF47F6CD9}"/>
    <cellStyle name="Millares 34 4 2" xfId="1073" xr:uid="{B8CF74F9-EC03-49B8-B146-5CFCE22D6478}"/>
    <cellStyle name="Millares 34 4 2 2" xfId="2656" xr:uid="{374259C6-8428-44CC-9336-37D37CB9D2AA}"/>
    <cellStyle name="Millares 34 4 2 2 2" xfId="4238" xr:uid="{72284BB8-AF09-4DBF-88CC-9E952F8B8437}"/>
    <cellStyle name="Millares 34 4 2 3" xfId="1865" xr:uid="{4A577290-FE97-4257-BC26-B839EE99BDA7}"/>
    <cellStyle name="Millares 34 4 2 4" xfId="3447" xr:uid="{B9929A89-CA51-4A88-B267-7BED25D4A997}"/>
    <cellStyle name="Millares 34 4 3" xfId="2262" xr:uid="{44ED7C23-7257-4CC7-B88D-F185693A4F67}"/>
    <cellStyle name="Millares 34 4 3 2" xfId="3844" xr:uid="{9C8F012E-A484-43BD-98C4-793D238759D7}"/>
    <cellStyle name="Millares 34 4 4" xfId="1471" xr:uid="{D4C91006-541C-4011-94D2-4BF2C816AE9E}"/>
    <cellStyle name="Millares 34 4 5" xfId="3053" xr:uid="{79AFEAF3-6280-4A15-923D-A72A326BE955}"/>
    <cellStyle name="Millares 34 5" xfId="852" xr:uid="{B721F8C9-6D9E-4875-AAE7-659E29948CBD}"/>
    <cellStyle name="Millares 34 5 2" xfId="2435" xr:uid="{F751BD35-79C2-4811-9DD3-C279CA858CDC}"/>
    <cellStyle name="Millares 34 5 2 2" xfId="4017" xr:uid="{535EA1B8-D6BA-4782-B032-BCE63AF31D07}"/>
    <cellStyle name="Millares 34 5 3" xfId="1644" xr:uid="{EF8C47DF-84E0-4404-9EC1-56D4F04F6E50}"/>
    <cellStyle name="Millares 34 5 4" xfId="3226" xr:uid="{AA08D49E-65A2-4D41-9A3E-2BEEA25464BC}"/>
    <cellStyle name="Millares 34 6" xfId="2041" xr:uid="{EDB81ADE-AEC5-4B0C-837A-83EC38ADB853}"/>
    <cellStyle name="Millares 34 6 2" xfId="3623" xr:uid="{0B29D639-DD8E-48A8-BEA8-C16766D6D4BF}"/>
    <cellStyle name="Millares 34 7" xfId="1250" xr:uid="{FB258450-AE8F-4CE9-A5EB-9D2A09DE0E26}"/>
    <cellStyle name="Millares 34 8" xfId="2832" xr:uid="{D9906A20-B4D8-4C19-8332-6B60AB143039}"/>
    <cellStyle name="Millares 35" xfId="391" xr:uid="{501DB80C-E8E0-4220-99F5-7A53D3D7656F}"/>
    <cellStyle name="Millares 35 2" xfId="512" xr:uid="{D0871660-5AF0-455E-822F-30B654F6CFCF}"/>
    <cellStyle name="Millares 35 2 2" xfId="740" xr:uid="{5A2B940E-03D1-4F30-8582-7356EC319045}"/>
    <cellStyle name="Millares 35 2 2 2" xfId="1140" xr:uid="{304B1E11-1D2A-40CA-98AD-D92054D2E1E9}"/>
    <cellStyle name="Millares 35 2 2 2 2" xfId="2723" xr:uid="{EDF7A789-D1A7-47A8-8869-1E8E42E7E5BA}"/>
    <cellStyle name="Millares 35 2 2 2 2 2" xfId="4305" xr:uid="{6DDF00C0-51FD-455A-9EB5-3933B1F3B897}"/>
    <cellStyle name="Millares 35 2 2 2 3" xfId="1932" xr:uid="{3862EB7A-BF7B-48A6-A6B0-601A90353132}"/>
    <cellStyle name="Millares 35 2 2 2 4" xfId="3514" xr:uid="{90F8A110-1125-4223-81F0-21EA3D9C07A7}"/>
    <cellStyle name="Millares 35 2 2 3" xfId="2329" xr:uid="{19785ABE-49A9-4C18-9C74-3C3D6EB6A1B8}"/>
    <cellStyle name="Millares 35 2 2 3 2" xfId="3911" xr:uid="{619DE841-7F97-4F28-BACE-341A84D5A8C8}"/>
    <cellStyle name="Millares 35 2 2 4" xfId="1538" xr:uid="{2ACE6ABB-6CFB-400B-8CCE-E61AC2FF11C6}"/>
    <cellStyle name="Millares 35 2 2 5" xfId="3120" xr:uid="{4F759A76-626D-45DE-BD58-BF458FB13418}"/>
    <cellStyle name="Millares 35 2 3" xfId="919" xr:uid="{304E5AE0-FC92-4AA7-91E3-FE07E72F639D}"/>
    <cellStyle name="Millares 35 2 3 2" xfId="2502" xr:uid="{D3142602-36DC-4C90-A479-693D5E51B5B4}"/>
    <cellStyle name="Millares 35 2 3 2 2" xfId="4084" xr:uid="{2D897CD4-591A-4AA6-83DC-8A5BDA6AACA3}"/>
    <cellStyle name="Millares 35 2 3 3" xfId="1711" xr:uid="{03819419-CC03-45F4-A1A5-AA7546C1345E}"/>
    <cellStyle name="Millares 35 2 3 4" xfId="3293" xr:uid="{1C19071D-8600-431E-8EC1-696143AC2EFE}"/>
    <cellStyle name="Millares 35 2 4" xfId="2108" xr:uid="{931A6CE6-AB63-4D80-A3A6-8A0F0E296EDB}"/>
    <cellStyle name="Millares 35 2 4 2" xfId="3690" xr:uid="{5394712B-B902-4256-AB09-533FD77A9268}"/>
    <cellStyle name="Millares 35 2 5" xfId="1317" xr:uid="{31B14FF2-60A6-42D5-BCBA-3F7D12C3D48D}"/>
    <cellStyle name="Millares 35 2 6" xfId="2899" xr:uid="{DD6C3533-C2A4-4171-BCB1-80A9D1A548A5}"/>
    <cellStyle name="Millares 35 3" xfId="589" xr:uid="{378508BD-7147-4A16-8BE4-C0D704332E4A}"/>
    <cellStyle name="Millares 35 3 2" xfId="996" xr:uid="{7BB10C40-762D-43B2-9958-911AB134CE15}"/>
    <cellStyle name="Millares 35 3 2 2" xfId="2579" xr:uid="{D5BFC0D0-DA05-4436-AF89-E90ED9EAEB92}"/>
    <cellStyle name="Millares 35 3 2 2 2" xfId="4161" xr:uid="{2F770F5B-26E4-4480-90AD-D4D9C52AC8AC}"/>
    <cellStyle name="Millares 35 3 2 3" xfId="1788" xr:uid="{FAD0C414-08BC-46D5-A21E-561E220421B5}"/>
    <cellStyle name="Millares 35 3 2 4" xfId="3370" xr:uid="{A1C34E10-26E2-4087-89B2-67944197C8C8}"/>
    <cellStyle name="Millares 35 3 3" xfId="2185" xr:uid="{BC88B04B-F108-41BC-A620-1BFAC85A47A4}"/>
    <cellStyle name="Millares 35 3 3 2" xfId="3767" xr:uid="{C2DDBCDD-C49D-4097-987A-14AD0AB02AD1}"/>
    <cellStyle name="Millares 35 3 4" xfId="1394" xr:uid="{FBD2CADF-DF1E-44E2-82BE-64CA865520AB}"/>
    <cellStyle name="Millares 35 3 5" xfId="2976" xr:uid="{8F842CD0-7ABE-4497-80BC-0830C70C7E31}"/>
    <cellStyle name="Millares 35 4" xfId="664" xr:uid="{2044CF59-336D-4B39-8083-73994FB41D63}"/>
    <cellStyle name="Millares 35 4 2" xfId="1064" xr:uid="{87DC8B46-9CB4-44F4-9CFC-4F5723793924}"/>
    <cellStyle name="Millares 35 4 2 2" xfId="2647" xr:uid="{CCA17284-FF9F-4A75-9B95-2C179D530119}"/>
    <cellStyle name="Millares 35 4 2 2 2" xfId="4229" xr:uid="{94928407-1E38-4CC3-8DD2-21B6B3FCACE3}"/>
    <cellStyle name="Millares 35 4 2 3" xfId="1856" xr:uid="{623BCBA1-ACF8-456C-A066-3C36AC99CF53}"/>
    <cellStyle name="Millares 35 4 2 4" xfId="3438" xr:uid="{1C078451-B8FD-4FB8-B878-61780CF22B20}"/>
    <cellStyle name="Millares 35 4 3" xfId="2253" xr:uid="{EBC16744-0D9F-4779-9AEB-84EE36B33909}"/>
    <cellStyle name="Millares 35 4 3 2" xfId="3835" xr:uid="{40362459-855F-49DF-B09F-55029902D583}"/>
    <cellStyle name="Millares 35 4 4" xfId="1462" xr:uid="{963864F0-5077-4E68-B1D8-2BACFFCBA976}"/>
    <cellStyle name="Millares 35 4 5" xfId="3044" xr:uid="{88E9B5F9-BA0D-4D29-BF54-530159F44C98}"/>
    <cellStyle name="Millares 35 5" xfId="843" xr:uid="{53D70698-B2AD-439C-AFA6-91C448A371A5}"/>
    <cellStyle name="Millares 35 5 2" xfId="2426" xr:uid="{2475FE12-2DDB-4E9D-8A38-D363D7DEBE01}"/>
    <cellStyle name="Millares 35 5 2 2" xfId="4008" xr:uid="{50723F24-668D-45C9-AB55-8386A5F3627C}"/>
    <cellStyle name="Millares 35 5 3" xfId="1635" xr:uid="{74BC1544-904A-4EE5-9FF2-F581304B308F}"/>
    <cellStyle name="Millares 35 5 4" xfId="3217" xr:uid="{84272DF6-252E-4F9A-AE1A-9AC708B1BD93}"/>
    <cellStyle name="Millares 35 6" xfId="2032" xr:uid="{BE6AE1FA-A2AC-452F-B451-F5073B8584A9}"/>
    <cellStyle name="Millares 35 6 2" xfId="3614" xr:uid="{29DD613B-DB50-4C99-852E-FEA502206B12}"/>
    <cellStyle name="Millares 35 7" xfId="1241" xr:uid="{743E4A0D-2497-4BFC-83FB-8F88CF605B52}"/>
    <cellStyle name="Millares 35 8" xfId="2823" xr:uid="{AE882112-41AF-431E-AB32-41019F94DF2D}"/>
    <cellStyle name="Millares 36" xfId="387" xr:uid="{2D606DA0-9512-4337-9111-17F749B0A067}"/>
    <cellStyle name="Millares 36 2" xfId="508" xr:uid="{3F31B847-BF7A-48FE-99AA-03E7636C2FFA}"/>
    <cellStyle name="Millares 36 2 2" xfId="736" xr:uid="{79CF5E41-FD03-4FFD-9BD4-7B60FC09FEBE}"/>
    <cellStyle name="Millares 36 2 2 2" xfId="1136" xr:uid="{42C505F7-7B38-46AB-9B16-32770A16EE3E}"/>
    <cellStyle name="Millares 36 2 2 2 2" xfId="2719" xr:uid="{1703B7D4-6E50-47CC-BCC3-0D355CF9F95A}"/>
    <cellStyle name="Millares 36 2 2 2 2 2" xfId="4301" xr:uid="{596F2D1F-27DD-48E1-BE66-5DEDCE0B295F}"/>
    <cellStyle name="Millares 36 2 2 2 3" xfId="1928" xr:uid="{E9BC8708-9F2E-4C93-91B6-A772A001A4AA}"/>
    <cellStyle name="Millares 36 2 2 2 4" xfId="3510" xr:uid="{CB056418-C637-4B10-B345-86E405BFB01A}"/>
    <cellStyle name="Millares 36 2 2 3" xfId="2325" xr:uid="{9647FAC0-865C-4C17-AE29-FE937F126C01}"/>
    <cellStyle name="Millares 36 2 2 3 2" xfId="3907" xr:uid="{C0E4B13F-CC3D-4059-A0B7-63AF7761F104}"/>
    <cellStyle name="Millares 36 2 2 4" xfId="1534" xr:uid="{D127ED61-0863-4B2E-B44D-319F2CEA2997}"/>
    <cellStyle name="Millares 36 2 2 5" xfId="3116" xr:uid="{664EAC0C-E2D2-4878-B770-A3FA21E59F1A}"/>
    <cellStyle name="Millares 36 2 3" xfId="915" xr:uid="{FAF319F4-7756-430E-A7A9-7B7558DC4FE7}"/>
    <cellStyle name="Millares 36 2 3 2" xfId="2498" xr:uid="{38399C6E-C370-4E69-801C-3FFC5BB994AB}"/>
    <cellStyle name="Millares 36 2 3 2 2" xfId="4080" xr:uid="{F849381B-55DE-48CD-A4B4-A422E780B75B}"/>
    <cellStyle name="Millares 36 2 3 3" xfId="1707" xr:uid="{41EDC00A-5C88-4858-9710-772A9900A518}"/>
    <cellStyle name="Millares 36 2 3 4" xfId="3289" xr:uid="{246299F7-17A8-4EF7-B6BB-74B824515177}"/>
    <cellStyle name="Millares 36 2 4" xfId="2104" xr:uid="{C48374AE-683A-45F3-9002-2A352995A26A}"/>
    <cellStyle name="Millares 36 2 4 2" xfId="3686" xr:uid="{2638731A-2004-4491-9825-85465445FF79}"/>
    <cellStyle name="Millares 36 2 5" xfId="1313" xr:uid="{534FDBCB-5926-4233-A6DE-68C34F889630}"/>
    <cellStyle name="Millares 36 2 6" xfId="2895" xr:uid="{B8A0A0C3-E49A-4D33-852F-FBE3298850AA}"/>
    <cellStyle name="Millares 36 3" xfId="585" xr:uid="{B663A0B1-714B-419A-9141-7FD5556C491E}"/>
    <cellStyle name="Millares 36 3 2" xfId="992" xr:uid="{BE0D0296-EDB7-43C7-9AB4-EF1E8F2ABD35}"/>
    <cellStyle name="Millares 36 3 2 2" xfId="2575" xr:uid="{8DEC871E-1FBF-426E-9766-200D0057904F}"/>
    <cellStyle name="Millares 36 3 2 2 2" xfId="4157" xr:uid="{65B6C212-A204-434A-9FFF-8D5DDD89953B}"/>
    <cellStyle name="Millares 36 3 2 3" xfId="1784" xr:uid="{3B981BE3-FB28-40F4-AD32-F662FC2CD5D9}"/>
    <cellStyle name="Millares 36 3 2 4" xfId="3366" xr:uid="{6FDB365C-90F6-4144-AF41-146C8B831DA6}"/>
    <cellStyle name="Millares 36 3 3" xfId="2181" xr:uid="{75FA5A7D-6F9A-4192-B348-14BE17AC26AE}"/>
    <cellStyle name="Millares 36 3 3 2" xfId="3763" xr:uid="{598ED2F7-9D63-4E15-9B98-851D0ABF2694}"/>
    <cellStyle name="Millares 36 3 4" xfId="1390" xr:uid="{28946D72-2363-42A3-9201-28713A46B2AD}"/>
    <cellStyle name="Millares 36 3 5" xfId="2972" xr:uid="{F478EF94-9345-4630-95E2-3B19371333E2}"/>
    <cellStyle name="Millares 36 4" xfId="660" xr:uid="{8B6D68A8-F0E5-41DA-AC51-FFCCA974DB86}"/>
    <cellStyle name="Millares 36 4 2" xfId="1060" xr:uid="{5F89B1BF-F4B9-4D08-85D3-F3E7B60EFB85}"/>
    <cellStyle name="Millares 36 4 2 2" xfId="2643" xr:uid="{20950F9E-FE35-4C0A-B4D0-0FCB32B90544}"/>
    <cellStyle name="Millares 36 4 2 2 2" xfId="4225" xr:uid="{FF698A7B-D56E-47A0-B0DE-3409A2D8FD04}"/>
    <cellStyle name="Millares 36 4 2 3" xfId="1852" xr:uid="{6159D52D-D27F-4271-9E99-5742FC510DC3}"/>
    <cellStyle name="Millares 36 4 2 4" xfId="3434" xr:uid="{1A7AFCB3-FA64-4DB3-8B8B-D3203EAD9DEC}"/>
    <cellStyle name="Millares 36 4 3" xfId="2249" xr:uid="{BC490F8D-D27B-4EED-B844-BA7F1C6235FE}"/>
    <cellStyle name="Millares 36 4 3 2" xfId="3831" xr:uid="{4ED995EB-631B-4297-8B4C-46F0EF7F1D38}"/>
    <cellStyle name="Millares 36 4 4" xfId="1458" xr:uid="{4ACC8DA8-6BF4-48D8-A10F-28E0A2F437B7}"/>
    <cellStyle name="Millares 36 4 5" xfId="3040" xr:uid="{23B6BB3B-E616-4A78-AD38-79D8B3900F54}"/>
    <cellStyle name="Millares 36 5" xfId="839" xr:uid="{93F69670-3ACE-4120-B9BA-F6558AF0C11B}"/>
    <cellStyle name="Millares 36 5 2" xfId="2422" xr:uid="{255CD4FE-18D0-4B4D-BF21-747FD5E6BAF8}"/>
    <cellStyle name="Millares 36 5 2 2" xfId="4004" xr:uid="{22756884-590D-48B2-B8EF-B51AE633CE77}"/>
    <cellStyle name="Millares 36 5 3" xfId="1631" xr:uid="{9091B55A-DF34-4485-A7AF-B6FC628C4BB0}"/>
    <cellStyle name="Millares 36 5 4" xfId="3213" xr:uid="{063C7462-B41B-4A4A-832A-2426A9330D8B}"/>
    <cellStyle name="Millares 36 6" xfId="2028" xr:uid="{CE59713D-A3BE-4F8B-ADDD-B8268B1FE426}"/>
    <cellStyle name="Millares 36 6 2" xfId="3610" xr:uid="{57B444D1-A0D4-40CF-A473-6E3338CF0C0D}"/>
    <cellStyle name="Millares 36 7" xfId="1237" xr:uid="{E300778E-10A1-4F39-910F-A867847D4DF5}"/>
    <cellStyle name="Millares 36 8" xfId="2819" xr:uid="{F7428CB3-35F6-4E95-9479-D6F0CC8F5989}"/>
    <cellStyle name="Millares 37" xfId="406" xr:uid="{2C7AA422-E1F0-4EA7-8B92-9C7114E57850}"/>
    <cellStyle name="Millares 37 2" xfId="524" xr:uid="{BFE7C85F-20E6-4C88-BD9E-DD5AF6DD35ED}"/>
    <cellStyle name="Millares 37 2 2" xfId="752" xr:uid="{DF956B48-2589-44F7-8443-12E66260215C}"/>
    <cellStyle name="Millares 37 2 2 2" xfId="1152" xr:uid="{2B29A28F-9420-47BC-9418-99FF7C3D9198}"/>
    <cellStyle name="Millares 37 2 2 2 2" xfId="2735" xr:uid="{FA83BDEC-3B65-4896-BDC1-F016B3E7E8EF}"/>
    <cellStyle name="Millares 37 2 2 2 2 2" xfId="4317" xr:uid="{53E4B11E-C0E3-4D00-B438-33845274AD6D}"/>
    <cellStyle name="Millares 37 2 2 2 3" xfId="1944" xr:uid="{43E96431-7518-4B63-AB87-F6D4D134DEB9}"/>
    <cellStyle name="Millares 37 2 2 2 4" xfId="3526" xr:uid="{016E0412-9F67-4846-BCE7-C5A92FE84785}"/>
    <cellStyle name="Millares 37 2 2 3" xfId="2341" xr:uid="{0B95B09A-B639-49BB-8041-8E2340845471}"/>
    <cellStyle name="Millares 37 2 2 3 2" xfId="3923" xr:uid="{7979D5BF-2A35-4E85-91AD-F5945AAFC917}"/>
    <cellStyle name="Millares 37 2 2 4" xfId="1550" xr:uid="{162376B3-E73B-42D0-B2FC-256D963ACE31}"/>
    <cellStyle name="Millares 37 2 2 5" xfId="3132" xr:uid="{EAF1E31F-0E21-4DEE-ABB9-F3E384FFD53F}"/>
    <cellStyle name="Millares 37 2 3" xfId="931" xr:uid="{D2FFA42E-AAC8-45DD-BF65-AE508BE34DF5}"/>
    <cellStyle name="Millares 37 2 3 2" xfId="2514" xr:uid="{535DE4E0-D6F7-4785-B969-99300715FEF5}"/>
    <cellStyle name="Millares 37 2 3 2 2" xfId="4096" xr:uid="{1DBC083C-9AB8-45B1-8C10-694AFB1D31B9}"/>
    <cellStyle name="Millares 37 2 3 3" xfId="1723" xr:uid="{C719B023-A9FC-4B40-831E-4DD9C16F9312}"/>
    <cellStyle name="Millares 37 2 3 4" xfId="3305" xr:uid="{724D29A8-AD43-4398-ACF3-A1F78A474404}"/>
    <cellStyle name="Millares 37 2 4" xfId="2120" xr:uid="{D4EAD5C6-43F5-49F4-AB05-39E903D24E58}"/>
    <cellStyle name="Millares 37 2 4 2" xfId="3702" xr:uid="{CEEE5EE9-1B47-4B29-B063-6A5279284B1C}"/>
    <cellStyle name="Millares 37 2 5" xfId="1329" xr:uid="{F0605501-A854-4625-88CA-A450CB5A19C5}"/>
    <cellStyle name="Millares 37 2 6" xfId="2911" xr:uid="{86E55638-F86D-4904-A512-1F4BDED3FC4D}"/>
    <cellStyle name="Millares 37 3" xfId="601" xr:uid="{1569530D-BAEF-417E-8889-23DDD5A13F59}"/>
    <cellStyle name="Millares 37 3 2" xfId="1008" xr:uid="{D0C9B884-FC2F-4F67-AC0F-9EB03876661C}"/>
    <cellStyle name="Millares 37 3 2 2" xfId="2591" xr:uid="{E9EE01CA-9679-457F-901D-B25535D3C05F}"/>
    <cellStyle name="Millares 37 3 2 2 2" xfId="4173" xr:uid="{076D8077-DE9B-4758-86D3-352ABF47C477}"/>
    <cellStyle name="Millares 37 3 2 3" xfId="1800" xr:uid="{ABF59378-0075-4F00-A40E-4709679C140E}"/>
    <cellStyle name="Millares 37 3 2 4" xfId="3382" xr:uid="{A1D97187-129A-4F54-B520-EDE67188E7FE}"/>
    <cellStyle name="Millares 37 3 3" xfId="2197" xr:uid="{38423258-8F05-43C7-B920-67A1252EEE78}"/>
    <cellStyle name="Millares 37 3 3 2" xfId="3779" xr:uid="{80F3DCCD-D3FF-478A-8CDE-DFCE797BB688}"/>
    <cellStyle name="Millares 37 3 4" xfId="1406" xr:uid="{3C5C2DB5-2315-4B00-A22E-71E5C7CA858B}"/>
    <cellStyle name="Millares 37 3 5" xfId="2988" xr:uid="{CC0D6E50-022C-4311-9E62-DE1EB073DD69}"/>
    <cellStyle name="Millares 37 4" xfId="676" xr:uid="{31B93E71-2645-4828-8D7E-38B119381317}"/>
    <cellStyle name="Millares 37 4 2" xfId="1076" xr:uid="{206FD775-C70D-4E9A-97AA-130F255E250F}"/>
    <cellStyle name="Millares 37 4 2 2" xfId="2659" xr:uid="{E3C57097-58A0-4BBB-A5DD-90F52320DE63}"/>
    <cellStyle name="Millares 37 4 2 2 2" xfId="4241" xr:uid="{91464E31-D968-432F-B205-B4A25A062409}"/>
    <cellStyle name="Millares 37 4 2 3" xfId="1868" xr:uid="{642159D8-DCDA-47CC-AEF4-ACE60758FCA4}"/>
    <cellStyle name="Millares 37 4 2 4" xfId="3450" xr:uid="{B2D4C632-7656-4CC5-9CA1-3B35A4D565EC}"/>
    <cellStyle name="Millares 37 4 3" xfId="2265" xr:uid="{17674BB9-7CF2-4461-ADF3-12FF00690B48}"/>
    <cellStyle name="Millares 37 4 3 2" xfId="3847" xr:uid="{C61C038E-E94F-4791-BD32-EB2275DDEE10}"/>
    <cellStyle name="Millares 37 4 4" xfId="1474" xr:uid="{FBEAC264-5408-489D-8354-2CB514596A19}"/>
    <cellStyle name="Millares 37 4 5" xfId="3056" xr:uid="{4D021FD8-956E-4B16-976A-C88928DC525C}"/>
    <cellStyle name="Millares 37 5" xfId="855" xr:uid="{770942BA-E972-45F7-9FF7-858FF1F97F2F}"/>
    <cellStyle name="Millares 37 5 2" xfId="2438" xr:uid="{BB889188-C712-4716-B93F-04B10F555EA3}"/>
    <cellStyle name="Millares 37 5 2 2" xfId="4020" xr:uid="{B3E1E1EB-AFF7-4D73-B680-227E970377AD}"/>
    <cellStyle name="Millares 37 5 3" xfId="1647" xr:uid="{1CC235DA-BBE6-4C1A-A863-9ACC84D579FE}"/>
    <cellStyle name="Millares 37 5 4" xfId="3229" xr:uid="{793469C4-E124-4611-AAF3-0AF61626ABE7}"/>
    <cellStyle name="Millares 37 6" xfId="2044" xr:uid="{21941CA8-C72A-4A2E-8E27-4371EDE1971B}"/>
    <cellStyle name="Millares 37 6 2" xfId="3626" xr:uid="{767135C9-6BDA-4484-875B-26E4330F1CE9}"/>
    <cellStyle name="Millares 37 7" xfId="1253" xr:uid="{C5836795-8046-42F4-8946-A1A4AC3C46AC}"/>
    <cellStyle name="Millares 37 8" xfId="2835" xr:uid="{CD8EF450-E24D-4D3D-9454-F276F79823A6}"/>
    <cellStyle name="Millares 38" xfId="388" xr:uid="{F9D77841-7579-420D-9AF6-8A670B0B76EE}"/>
    <cellStyle name="Millares 38 2" xfId="509" xr:uid="{B05A4D8D-6875-47D5-BD17-9C82F1DCC58D}"/>
    <cellStyle name="Millares 38 2 2" xfId="737" xr:uid="{D3CA0D27-3117-43A8-B5FC-BB1539AF8385}"/>
    <cellStyle name="Millares 38 2 2 2" xfId="1137" xr:uid="{5BF550A8-0F14-4EEF-9833-9A8CE7190B95}"/>
    <cellStyle name="Millares 38 2 2 2 2" xfId="2720" xr:uid="{BD3803F9-48A7-4FE3-961F-4D9E21D05311}"/>
    <cellStyle name="Millares 38 2 2 2 2 2" xfId="4302" xr:uid="{7630105A-3632-41D9-ABDB-2738DEBDEDA6}"/>
    <cellStyle name="Millares 38 2 2 2 3" xfId="1929" xr:uid="{9E81F215-0C2B-4C57-B291-8301DB33BF9A}"/>
    <cellStyle name="Millares 38 2 2 2 4" xfId="3511" xr:uid="{F20FBCBB-B727-4BA7-9DF8-1022222DBF87}"/>
    <cellStyle name="Millares 38 2 2 3" xfId="2326" xr:uid="{B06C322B-4C0A-49CD-8105-45591A49764A}"/>
    <cellStyle name="Millares 38 2 2 3 2" xfId="3908" xr:uid="{E39966FA-DEF5-434F-A25C-39EFDEF00822}"/>
    <cellStyle name="Millares 38 2 2 4" xfId="1535" xr:uid="{88BE5190-927A-4CF5-9970-744B94343BAC}"/>
    <cellStyle name="Millares 38 2 2 5" xfId="3117" xr:uid="{875E5604-3BD1-4867-BDF8-BB31ADB0E7FF}"/>
    <cellStyle name="Millares 38 2 3" xfId="916" xr:uid="{D38E15CD-F8E7-4B77-89F3-97781E4DD2EF}"/>
    <cellStyle name="Millares 38 2 3 2" xfId="2499" xr:uid="{FC54D768-66B6-4A6A-8F4B-B71E7A8B29E3}"/>
    <cellStyle name="Millares 38 2 3 2 2" xfId="4081" xr:uid="{75769410-5DCB-4D90-BA91-2EAC1FDD16A9}"/>
    <cellStyle name="Millares 38 2 3 3" xfId="1708" xr:uid="{D4BB4964-B9F2-4F66-BF58-99A6849D6857}"/>
    <cellStyle name="Millares 38 2 3 4" xfId="3290" xr:uid="{1A521B82-E598-4C31-A6CB-02203732140E}"/>
    <cellStyle name="Millares 38 2 4" xfId="2105" xr:uid="{18F1B230-48E6-4BE1-AB9A-B44D2158AA0D}"/>
    <cellStyle name="Millares 38 2 4 2" xfId="3687" xr:uid="{9308D3C2-6A25-4A95-A76C-C29075285EFC}"/>
    <cellStyle name="Millares 38 2 5" xfId="1314" xr:uid="{DC9B3F5B-C234-46C5-A4B4-3C1B5886432E}"/>
    <cellStyle name="Millares 38 2 6" xfId="2896" xr:uid="{B2A239F9-977C-496B-B246-52F015584D5E}"/>
    <cellStyle name="Millares 38 3" xfId="586" xr:uid="{6A897CA2-0572-4B7E-88C6-1D31572BAA1B}"/>
    <cellStyle name="Millares 38 3 2" xfId="993" xr:uid="{1EB51119-DAA3-4204-B2CC-0C6BF67AAE50}"/>
    <cellStyle name="Millares 38 3 2 2" xfId="2576" xr:uid="{D88949FA-E825-4AC8-88DC-E6D87D5747DE}"/>
    <cellStyle name="Millares 38 3 2 2 2" xfId="4158" xr:uid="{F13A3615-FBDF-477E-B7D1-4F54DA3B43D1}"/>
    <cellStyle name="Millares 38 3 2 3" xfId="1785" xr:uid="{65CF0C39-B314-433D-BDB4-E67EE2C00D44}"/>
    <cellStyle name="Millares 38 3 2 4" xfId="3367" xr:uid="{A6A6C011-96F2-4EDF-86E3-59B39A9EAE6C}"/>
    <cellStyle name="Millares 38 3 3" xfId="2182" xr:uid="{9CA18B11-D2DA-40C1-A491-9E42B5542A55}"/>
    <cellStyle name="Millares 38 3 3 2" xfId="3764" xr:uid="{72BE5BBF-5F0C-4905-AA98-CCA9194BAE1A}"/>
    <cellStyle name="Millares 38 3 4" xfId="1391" xr:uid="{1099761C-F2B3-432B-BA61-4E782651E81A}"/>
    <cellStyle name="Millares 38 3 5" xfId="2973" xr:uid="{380E5F1A-9CF6-4329-87E0-68926C580384}"/>
    <cellStyle name="Millares 38 4" xfId="661" xr:uid="{B2FB8B11-5D41-48D0-9C35-5A2C3F677E79}"/>
    <cellStyle name="Millares 38 4 2" xfId="1061" xr:uid="{1E219287-C756-4E65-944D-EF23B278F278}"/>
    <cellStyle name="Millares 38 4 2 2" xfId="2644" xr:uid="{9E6D7D86-A2FA-46DD-87E2-78F242BB2D1B}"/>
    <cellStyle name="Millares 38 4 2 2 2" xfId="4226" xr:uid="{137407FC-CF2E-4983-8E0C-48B0F67CF94A}"/>
    <cellStyle name="Millares 38 4 2 3" xfId="1853" xr:uid="{8DBC6573-12D4-485B-80F8-691A989F1147}"/>
    <cellStyle name="Millares 38 4 2 4" xfId="3435" xr:uid="{DD64A8E2-7629-4678-9E66-856C0B695401}"/>
    <cellStyle name="Millares 38 4 3" xfId="2250" xr:uid="{9050202F-8F82-49A3-B942-D949453D0A10}"/>
    <cellStyle name="Millares 38 4 3 2" xfId="3832" xr:uid="{0BB8B414-AE28-45F1-BB4E-A30AAA208B05}"/>
    <cellStyle name="Millares 38 4 4" xfId="1459" xr:uid="{F6FDBC84-B897-46C4-8360-E04D36BA9611}"/>
    <cellStyle name="Millares 38 4 5" xfId="3041" xr:uid="{5AC2E91B-C69A-4B89-8F0B-0DB4991B9E1D}"/>
    <cellStyle name="Millares 38 5" xfId="840" xr:uid="{B85258FE-0C6A-454A-8D45-812A64E52E6E}"/>
    <cellStyle name="Millares 38 5 2" xfId="2423" xr:uid="{4F3FA8E6-7943-4455-9D7C-1B44FFDA3B28}"/>
    <cellStyle name="Millares 38 5 2 2" xfId="4005" xr:uid="{FDCE7B4C-E7DA-4563-91C8-4FF9EC49263A}"/>
    <cellStyle name="Millares 38 5 3" xfId="1632" xr:uid="{464ED82F-FBE3-4CB3-8863-C927904464F9}"/>
    <cellStyle name="Millares 38 5 4" xfId="3214" xr:uid="{A288D23C-474C-4258-9DA3-AB906E6C07D0}"/>
    <cellStyle name="Millares 38 6" xfId="2029" xr:uid="{9B240BEB-525D-4CF0-A885-FC1E4B924737}"/>
    <cellStyle name="Millares 38 6 2" xfId="3611" xr:uid="{A7CE73DB-F4A9-44E7-8FB1-023C95411FA0}"/>
    <cellStyle name="Millares 38 7" xfId="1238" xr:uid="{130EB517-346F-4CF4-B378-B4F0A0EABDC5}"/>
    <cellStyle name="Millares 38 8" xfId="2820" xr:uid="{58D55F7A-FAB7-4F5E-9ACB-609D960B24D9}"/>
    <cellStyle name="Millares 39" xfId="476" xr:uid="{7F4B2925-2F2C-42E5-B58B-5B3A86ED1051}"/>
    <cellStyle name="Millares 39 2" xfId="552" xr:uid="{1A6CED11-ED0D-4F94-85BD-2004181EA0DC}"/>
    <cellStyle name="Millares 39 2 2" xfId="780" xr:uid="{AEE4B5B3-CBAF-47A3-9D0D-A86D12FC900D}"/>
    <cellStyle name="Millares 39 2 2 2" xfId="1180" xr:uid="{9319A86A-3AA2-486C-94BB-BFFD901C9FC5}"/>
    <cellStyle name="Millares 39 2 2 2 2" xfId="2763" xr:uid="{A1FCBCEC-F63A-403E-BFA1-67EACA9ED77A}"/>
    <cellStyle name="Millares 39 2 2 2 2 2" xfId="4345" xr:uid="{584786D4-C166-45EF-B582-CC2FFB0CBFA1}"/>
    <cellStyle name="Millares 39 2 2 2 3" xfId="1972" xr:uid="{970FA2C9-B649-435F-A8C4-29297F5A57FD}"/>
    <cellStyle name="Millares 39 2 2 2 4" xfId="3554" xr:uid="{CBA92A9D-AC83-4D40-A45E-5022F26C8E89}"/>
    <cellStyle name="Millares 39 2 2 3" xfId="2369" xr:uid="{45382A7B-8431-4F27-B711-C35D5490C370}"/>
    <cellStyle name="Millares 39 2 2 3 2" xfId="3951" xr:uid="{0CAD56BA-C9F1-440A-AC23-FB2676584A6D}"/>
    <cellStyle name="Millares 39 2 2 4" xfId="1578" xr:uid="{F40F8B35-1A9E-41FC-AFC4-132014F8EF83}"/>
    <cellStyle name="Millares 39 2 2 5" xfId="3160" xr:uid="{9D80166A-5A22-46A1-9FE7-28ED8B63DFBA}"/>
    <cellStyle name="Millares 39 2 3" xfId="959" xr:uid="{4E1C0EB4-6DA9-49CB-9793-EB59663CE58D}"/>
    <cellStyle name="Millares 39 2 3 2" xfId="2542" xr:uid="{C2A67777-02AA-4173-9CF0-C257B3DA0418}"/>
    <cellStyle name="Millares 39 2 3 2 2" xfId="4124" xr:uid="{FF3A1314-E9DC-4718-AD15-8FAE7204783A}"/>
    <cellStyle name="Millares 39 2 3 3" xfId="1751" xr:uid="{E438BC30-CE90-4C27-A7CA-4FF74310A4A0}"/>
    <cellStyle name="Millares 39 2 3 4" xfId="3333" xr:uid="{F12C76A6-4B54-476A-B5C9-7EE095F24EC7}"/>
    <cellStyle name="Millares 39 2 4" xfId="2148" xr:uid="{36742F0A-812D-40C8-883B-1BCC49DA3847}"/>
    <cellStyle name="Millares 39 2 4 2" xfId="3730" xr:uid="{D02BA923-6230-42B3-9C23-B1B650001558}"/>
    <cellStyle name="Millares 39 2 5" xfId="1357" xr:uid="{E1E12923-1ABB-4290-9DB9-A3C4007F6E46}"/>
    <cellStyle name="Millares 39 2 6" xfId="2939" xr:uid="{0E18AE1D-2A1C-49B1-AAD4-A4DE7A696B5D}"/>
    <cellStyle name="Millares 39 3" xfId="704" xr:uid="{519A951D-F92C-453C-B865-756B6FA51389}"/>
    <cellStyle name="Millares 39 3 2" xfId="1104" xr:uid="{BCED9510-5EBA-4903-86A1-B88E8536A920}"/>
    <cellStyle name="Millares 39 3 2 2" xfId="2687" xr:uid="{6E94000C-AFC1-4CDF-983B-54090E09B868}"/>
    <cellStyle name="Millares 39 3 2 2 2" xfId="4269" xr:uid="{8FC548AD-7331-479C-95AD-0FA0D1517459}"/>
    <cellStyle name="Millares 39 3 2 3" xfId="1896" xr:uid="{FA9D7B1D-3C10-4471-875B-6C2C2BBF61DC}"/>
    <cellStyle name="Millares 39 3 2 4" xfId="3478" xr:uid="{F8796EFA-E578-41AF-8591-D408BB9E9A90}"/>
    <cellStyle name="Millares 39 3 3" xfId="2293" xr:uid="{86306E03-C21B-4EE1-B4E2-753EB9BB89D8}"/>
    <cellStyle name="Millares 39 3 3 2" xfId="3875" xr:uid="{FAF9E6B6-46A2-42D2-B928-344A54D89241}"/>
    <cellStyle name="Millares 39 3 4" xfId="1502" xr:uid="{F24E6E73-225A-4FB6-8246-F9794F0DD1D0}"/>
    <cellStyle name="Millares 39 3 5" xfId="3084" xr:uid="{58905527-6950-407D-83EB-7DBE69155B5A}"/>
    <cellStyle name="Millares 39 4" xfId="883" xr:uid="{CE00E720-0BF4-4174-93AB-F39AE9C9F2E7}"/>
    <cellStyle name="Millares 39 4 2" xfId="2466" xr:uid="{8E3F4FD4-DBDA-4936-83B1-F5C9FB1F1766}"/>
    <cellStyle name="Millares 39 4 2 2" xfId="4048" xr:uid="{2234D06C-7E9D-4CD3-A62C-FCEA7ECF10C2}"/>
    <cellStyle name="Millares 39 4 3" xfId="1675" xr:uid="{764DFFD1-CD01-49D2-8C2D-D84FA04FF48F}"/>
    <cellStyle name="Millares 39 4 4" xfId="3257" xr:uid="{84D0CF7A-493F-4797-8B23-043577B7C058}"/>
    <cellStyle name="Millares 39 5" xfId="2072" xr:uid="{80F6DE75-3627-42B4-AF1D-141921556C59}"/>
    <cellStyle name="Millares 39 5 2" xfId="3654" xr:uid="{0E11C11F-778D-4E54-A8B6-621205940BD9}"/>
    <cellStyle name="Millares 39 6" xfId="1281" xr:uid="{C5BD24B2-B0F6-4815-A4D9-AA047A969EBC}"/>
    <cellStyle name="Millares 39 7" xfId="2863" xr:uid="{BE2E1B36-D7A1-4E49-9B5B-FE37985AFD19}"/>
    <cellStyle name="Millares 4" xfId="5" xr:uid="{00000000-0005-0000-0000-000004000000}"/>
    <cellStyle name="Millares 4 10" xfId="1216" xr:uid="{000B269D-82F9-4CED-94FD-395C8CC6BC2C}"/>
    <cellStyle name="Millares 4 11" xfId="2798" xr:uid="{6D660239-978C-498D-A461-CF66DBE0867D}"/>
    <cellStyle name="Millares 4 2" xfId="351" xr:uid="{E539347F-F354-4F0B-A83B-4A8652D263F7}"/>
    <cellStyle name="Millares 4 2 10" xfId="2811" xr:uid="{A6682414-C660-4EAD-BF39-2B9CCB635BDA}"/>
    <cellStyle name="Millares 4 2 2" xfId="429" xr:uid="{ACAB8D0D-A681-4AC1-828E-B15151CFB543}"/>
    <cellStyle name="Millares 4 2 2 2" xfId="541" xr:uid="{14829914-19CD-4951-ADC0-18F1B154A141}"/>
    <cellStyle name="Millares 4 2 2 2 2" xfId="769" xr:uid="{67BE02BC-BA05-4A95-8598-9AD8EFF776E4}"/>
    <cellStyle name="Millares 4 2 2 2 2 2" xfId="1169" xr:uid="{1C9C39BB-4860-4F0B-8BEB-299D9E75CC46}"/>
    <cellStyle name="Millares 4 2 2 2 2 2 2" xfId="2752" xr:uid="{A860E918-A800-43C6-87B6-2E5FAAD20A70}"/>
    <cellStyle name="Millares 4 2 2 2 2 2 2 2" xfId="4334" xr:uid="{C99DEBBD-B17E-4847-B9F4-150915C1685F}"/>
    <cellStyle name="Millares 4 2 2 2 2 2 3" xfId="1961" xr:uid="{06CEDCDA-099B-4122-827D-248333EA0EE6}"/>
    <cellStyle name="Millares 4 2 2 2 2 2 4" xfId="3543" xr:uid="{37D4F74E-67C7-4F29-BCA8-ABFD9E04ADE1}"/>
    <cellStyle name="Millares 4 2 2 2 2 3" xfId="2358" xr:uid="{3CBEFA24-7FF5-463E-834C-3AAA9C8CCB75}"/>
    <cellStyle name="Millares 4 2 2 2 2 3 2" xfId="3940" xr:uid="{688A63E7-27C1-4AC7-BCBA-0B3A1EB6808B}"/>
    <cellStyle name="Millares 4 2 2 2 2 4" xfId="1567" xr:uid="{C049E6A7-6B48-4B86-BCFB-C5FE470BB46A}"/>
    <cellStyle name="Millares 4 2 2 2 2 5" xfId="3149" xr:uid="{EAEB1993-D405-454F-B674-1C6288D22CB8}"/>
    <cellStyle name="Millares 4 2 2 2 3" xfId="948" xr:uid="{7661B575-246B-43A9-807A-4943B50DA424}"/>
    <cellStyle name="Millares 4 2 2 2 3 2" xfId="2531" xr:uid="{FE029098-D475-482D-9BA6-6544D4C25D16}"/>
    <cellStyle name="Millares 4 2 2 2 3 2 2" xfId="4113" xr:uid="{199797EA-7F92-4C73-B012-0F53B8735907}"/>
    <cellStyle name="Millares 4 2 2 2 3 3" xfId="1740" xr:uid="{0117C09F-9673-48AB-9E21-AE8A4C4EB001}"/>
    <cellStyle name="Millares 4 2 2 2 3 4" xfId="3322" xr:uid="{B4CA428E-3A1C-4CF8-9267-A49F0E195AC4}"/>
    <cellStyle name="Millares 4 2 2 2 4" xfId="2137" xr:uid="{A8379E1B-53D8-4D98-81D1-5442274BA8AA}"/>
    <cellStyle name="Millares 4 2 2 2 4 2" xfId="3719" xr:uid="{528621CA-1A9B-42EF-9727-DCF111BD58D3}"/>
    <cellStyle name="Millares 4 2 2 2 5" xfId="1346" xr:uid="{7338BB80-A3E0-4B06-8BF0-8ABF70F28572}"/>
    <cellStyle name="Millares 4 2 2 2 6" xfId="2928" xr:uid="{B33943A5-C0DC-4BFC-B14A-C4712DF1599D}"/>
    <cellStyle name="Millares 4 2 2 3" xfId="618" xr:uid="{E0776E9C-A352-4D60-B7B6-038EC88A4C1A}"/>
    <cellStyle name="Millares 4 2 2 3 2" xfId="1025" xr:uid="{18AD063F-073E-4142-B965-E2BD86048355}"/>
    <cellStyle name="Millares 4 2 2 3 2 2" xfId="2608" xr:uid="{9DFDAFB3-4069-476B-830F-772373062A3C}"/>
    <cellStyle name="Millares 4 2 2 3 2 2 2" xfId="4190" xr:uid="{0D61B2AB-4C3D-4681-B297-3DB98509E290}"/>
    <cellStyle name="Millares 4 2 2 3 2 3" xfId="1817" xr:uid="{4E983C35-9DA3-4868-8A26-905E289D4797}"/>
    <cellStyle name="Millares 4 2 2 3 2 4" xfId="3399" xr:uid="{94538C94-DFD9-47E7-B782-E272E4AB9B98}"/>
    <cellStyle name="Millares 4 2 2 3 3" xfId="2214" xr:uid="{AD54CFCE-D24A-467E-A126-F849C83DF926}"/>
    <cellStyle name="Millares 4 2 2 3 3 2" xfId="3796" xr:uid="{A5AD1771-0022-43B3-A593-C34F19C00869}"/>
    <cellStyle name="Millares 4 2 2 3 4" xfId="1423" xr:uid="{D0722102-693E-404C-8261-FB21308CE5F3}"/>
    <cellStyle name="Millares 4 2 2 3 5" xfId="3005" xr:uid="{965BD135-A3AD-4315-BC68-733231401AF3}"/>
    <cellStyle name="Millares 4 2 2 4" xfId="693" xr:uid="{52C30F34-F68A-4613-BB24-604F729D7371}"/>
    <cellStyle name="Millares 4 2 2 4 2" xfId="1093" xr:uid="{5073853C-E3A5-4AD1-B100-0F0820FC03CC}"/>
    <cellStyle name="Millares 4 2 2 4 2 2" xfId="2676" xr:uid="{B4F30ECD-F102-4172-AE87-AFA7F8AEB7CE}"/>
    <cellStyle name="Millares 4 2 2 4 2 2 2" xfId="4258" xr:uid="{879DDB15-8686-4162-848A-DCA496CBDEE8}"/>
    <cellStyle name="Millares 4 2 2 4 2 3" xfId="1885" xr:uid="{BB439295-381D-4803-BE20-8C60E2F1C4C0}"/>
    <cellStyle name="Millares 4 2 2 4 2 4" xfId="3467" xr:uid="{2CFA8435-97AA-457C-A563-6AE3AC9B4066}"/>
    <cellStyle name="Millares 4 2 2 4 3" xfId="2282" xr:uid="{64ABF8A8-7638-4C4B-B303-70E24B20A988}"/>
    <cellStyle name="Millares 4 2 2 4 3 2" xfId="3864" xr:uid="{03344181-CCD2-4419-8A20-6AB8CDC7EE23}"/>
    <cellStyle name="Millares 4 2 2 4 4" xfId="1491" xr:uid="{0F45C7BC-9D3D-4F31-9770-8F46A74BCF22}"/>
    <cellStyle name="Millares 4 2 2 4 5" xfId="3073" xr:uid="{9BAB3E1B-B122-4A33-BCB3-8168EA3A78AF}"/>
    <cellStyle name="Millares 4 2 2 5" xfId="872" xr:uid="{4F56E827-B9DB-4BBE-932E-CA539F541E70}"/>
    <cellStyle name="Millares 4 2 2 5 2" xfId="2455" xr:uid="{8DFF57FD-E041-44DE-85B0-7BE28E1AFABE}"/>
    <cellStyle name="Millares 4 2 2 5 2 2" xfId="4037" xr:uid="{3B920DAC-9D2C-47DA-B3DA-78C4F6BD01D9}"/>
    <cellStyle name="Millares 4 2 2 5 3" xfId="1664" xr:uid="{91A2E12A-6673-4F6F-B713-8740069D2760}"/>
    <cellStyle name="Millares 4 2 2 5 4" xfId="3246" xr:uid="{424A21BC-4BB0-4036-A520-2BE47D01B9C4}"/>
    <cellStyle name="Millares 4 2 2 6" xfId="2061" xr:uid="{F09705F7-830B-4110-AF32-232E56D75D85}"/>
    <cellStyle name="Millares 4 2 2 6 2" xfId="3643" xr:uid="{533AC87A-23C8-4C6D-A912-02C78BB360FF}"/>
    <cellStyle name="Millares 4 2 2 7" xfId="1270" xr:uid="{D014BDE3-1799-477E-BB29-55DBC430BE29}"/>
    <cellStyle name="Millares 4 2 2 8" xfId="2852" xr:uid="{0DB002F5-4737-4497-8B9D-C6DE5D17772F}"/>
    <cellStyle name="Millares 4 2 3" xfId="500" xr:uid="{F52E5F3C-1174-4355-BE0F-3A7012B31993}"/>
    <cellStyle name="Millares 4 2 3 2" xfId="728" xr:uid="{53DCBE47-E652-48DF-838E-5FC596330747}"/>
    <cellStyle name="Millares 4 2 3 2 2" xfId="1128" xr:uid="{8EBC49EA-BD0D-48A7-9F64-7DCD0D7916BD}"/>
    <cellStyle name="Millares 4 2 3 2 2 2" xfId="2711" xr:uid="{13192756-B65A-4FA2-8D92-DAE008950D4C}"/>
    <cellStyle name="Millares 4 2 3 2 2 2 2" xfId="4293" xr:uid="{87260C15-E573-415D-814E-930252470345}"/>
    <cellStyle name="Millares 4 2 3 2 2 3" xfId="1920" xr:uid="{967E9C2E-9E4A-4BAC-A5F7-8BFB563458BA}"/>
    <cellStyle name="Millares 4 2 3 2 2 4" xfId="3502" xr:uid="{31EA0244-ED44-41EF-B553-87CB871375BA}"/>
    <cellStyle name="Millares 4 2 3 2 3" xfId="2317" xr:uid="{40527834-2977-4151-B048-8491DC9E5AF1}"/>
    <cellStyle name="Millares 4 2 3 2 3 2" xfId="3899" xr:uid="{B1BF8B8B-187C-4545-92EB-04DA5FBB2B18}"/>
    <cellStyle name="Millares 4 2 3 2 4" xfId="1526" xr:uid="{B7B06D75-2A96-4536-9DAC-4A87DD8A2967}"/>
    <cellStyle name="Millares 4 2 3 2 5" xfId="3108" xr:uid="{7D3E02FE-544A-473F-9A1C-6AEE0A1DE66C}"/>
    <cellStyle name="Millares 4 2 3 3" xfId="907" xr:uid="{DAC71A05-24B6-43A1-B5F2-8D674F6606E1}"/>
    <cellStyle name="Millares 4 2 3 3 2" xfId="2490" xr:uid="{9B2942A6-2875-43B4-AB0B-0A3CB8BB41BA}"/>
    <cellStyle name="Millares 4 2 3 3 2 2" xfId="4072" xr:uid="{D650FB6C-7514-4228-AC57-FAC27C5AF4BF}"/>
    <cellStyle name="Millares 4 2 3 3 3" xfId="1699" xr:uid="{A84A24C8-A9C6-43C5-AD38-25F4A7714595}"/>
    <cellStyle name="Millares 4 2 3 3 4" xfId="3281" xr:uid="{567CC174-C5F3-4E57-87E1-9E3393FD32F0}"/>
    <cellStyle name="Millares 4 2 3 4" xfId="2096" xr:uid="{7B5CACC5-4E59-4EE9-B471-71441ED89679}"/>
    <cellStyle name="Millares 4 2 3 4 2" xfId="3678" xr:uid="{C02234C3-B201-4AA7-9739-72935245E370}"/>
    <cellStyle name="Millares 4 2 3 5" xfId="1305" xr:uid="{F0B26A2F-3871-4A48-8021-9AFEC72A7CAB}"/>
    <cellStyle name="Millares 4 2 3 6" xfId="2887" xr:uid="{3818049B-24C3-4256-AC07-66064CFE2C99}"/>
    <cellStyle name="Millares 4 2 4" xfId="577" xr:uid="{9D794663-77A7-428F-829F-44CDB1780898}"/>
    <cellStyle name="Millares 4 2 4 2" xfId="984" xr:uid="{A1952131-7A2A-49BE-BB12-C77734C56840}"/>
    <cellStyle name="Millares 4 2 4 2 2" xfId="2567" xr:uid="{8E91B8D3-92D7-4755-8B12-FEF6A29DD50E}"/>
    <cellStyle name="Millares 4 2 4 2 2 2" xfId="4149" xr:uid="{533DE444-81A0-48B4-9056-98789F365D77}"/>
    <cellStyle name="Millares 4 2 4 2 3" xfId="1776" xr:uid="{AE889FC6-EA13-4AF4-AF16-B396F39E325C}"/>
    <cellStyle name="Millares 4 2 4 2 4" xfId="3358" xr:uid="{211D964B-87C4-4F58-8EDA-4CF358588D96}"/>
    <cellStyle name="Millares 4 2 4 3" xfId="2173" xr:uid="{B6D649BB-C0F4-40DF-B11E-2EF3E880DFB0}"/>
    <cellStyle name="Millares 4 2 4 3 2" xfId="3755" xr:uid="{079F0AE4-BB05-41C6-A210-33B02493A5D4}"/>
    <cellStyle name="Millares 4 2 4 4" xfId="1382" xr:uid="{720E6297-D4C9-4E5A-8C37-31F0F5DEE4DE}"/>
    <cellStyle name="Millares 4 2 4 5" xfId="2964" xr:uid="{A84E11C4-C518-41C2-84AB-0C8CAC09B7CC}"/>
    <cellStyle name="Millares 4 2 5" xfId="652" xr:uid="{21F3291E-1BCB-4288-8241-3C48FE6CA140}"/>
    <cellStyle name="Millares 4 2 5 2" xfId="1052" xr:uid="{33083A28-0B37-4723-B1DB-7D70D51BBFB7}"/>
    <cellStyle name="Millares 4 2 5 2 2" xfId="2635" xr:uid="{25FBFE42-70A2-4052-A94F-F38ECDF903E6}"/>
    <cellStyle name="Millares 4 2 5 2 2 2" xfId="4217" xr:uid="{DAA7C24E-F63B-4E1B-BE10-EBC0B389EA39}"/>
    <cellStyle name="Millares 4 2 5 2 3" xfId="1844" xr:uid="{88E63F17-D8F7-4881-802E-EE8BA52204F5}"/>
    <cellStyle name="Millares 4 2 5 2 4" xfId="3426" xr:uid="{109F4BEE-0B08-4A97-B62D-3633151312AA}"/>
    <cellStyle name="Millares 4 2 5 3" xfId="2241" xr:uid="{2EA5A3BB-7C6D-454E-AA69-48D9542E0711}"/>
    <cellStyle name="Millares 4 2 5 3 2" xfId="3823" xr:uid="{D0194486-BE62-47E1-B546-3A324B77944C}"/>
    <cellStyle name="Millares 4 2 5 4" xfId="1450" xr:uid="{004E70A3-ABE3-4722-9261-CAABC71E55BC}"/>
    <cellStyle name="Millares 4 2 5 5" xfId="3032" xr:uid="{E250DC62-BF53-4550-A4DA-5E2814CB6E9B}"/>
    <cellStyle name="Millares 4 2 6" xfId="804" xr:uid="{621F7DCD-77F4-4121-95A2-4B27448C3798}"/>
    <cellStyle name="Millares 4 2 6 2" xfId="1204" xr:uid="{0F8C52AB-BCEC-4665-A095-81BFF42E915D}"/>
    <cellStyle name="Millares 4 2 6 2 2" xfId="2787" xr:uid="{D4CACD1A-829A-47CB-AA5B-261A4D4CAC7D}"/>
    <cellStyle name="Millares 4 2 6 2 2 2" xfId="4369" xr:uid="{EBF22A76-611D-44A2-81E4-699ED102A073}"/>
    <cellStyle name="Millares 4 2 6 2 3" xfId="1996" xr:uid="{208FAD40-1732-4D84-9EC7-968AA689ECBD}"/>
    <cellStyle name="Millares 4 2 6 2 4" xfId="3578" xr:uid="{663F1A63-CCE7-4FA3-8080-084D0FEB1AD0}"/>
    <cellStyle name="Millares 4 2 6 3" xfId="2393" xr:uid="{642192BF-B1CC-4A93-8BA2-2A1D83146BEC}"/>
    <cellStyle name="Millares 4 2 6 3 2" xfId="3975" xr:uid="{9CCAAE10-966C-4AC0-BAA5-E83207B6455B}"/>
    <cellStyle name="Millares 4 2 6 4" xfId="1602" xr:uid="{5A4B9BF7-BAC2-4717-B4A6-678422587E68}"/>
    <cellStyle name="Millares 4 2 6 5" xfId="3184" xr:uid="{565C06B6-4263-41C1-AD7F-B38BAA69DD6B}"/>
    <cellStyle name="Millares 4 2 7" xfId="831" xr:uid="{BBC762B1-AEE4-4258-AED2-AA8CE198B20E}"/>
    <cellStyle name="Millares 4 2 7 2" xfId="2414" xr:uid="{7C457B08-8C86-473F-86BA-4197139ADF97}"/>
    <cellStyle name="Millares 4 2 7 2 2" xfId="3996" xr:uid="{40BA6EFD-6618-43DC-864E-B6893FB76DDD}"/>
    <cellStyle name="Millares 4 2 7 3" xfId="1623" xr:uid="{69F0B31C-99AB-4888-B082-41EB5AF96DEB}"/>
    <cellStyle name="Millares 4 2 7 4" xfId="3205" xr:uid="{51318E57-8E7E-4C8F-A514-5A4EDA256221}"/>
    <cellStyle name="Millares 4 2 8" xfId="2020" xr:uid="{FE602FA9-028C-40C9-B6B6-9BACA3567DB6}"/>
    <cellStyle name="Millares 4 2 8 2" xfId="3602" xr:uid="{DC96EF52-6FFF-4044-AEC8-A23FB5ACAA7E}"/>
    <cellStyle name="Millares 4 2 9" xfId="1229" xr:uid="{4D80C07F-4CD9-4BE0-B92B-66DA4A5D5D8B}"/>
    <cellStyle name="Millares 4 3" xfId="410" xr:uid="{499FCAFA-A241-4FE0-A1E0-1FA5EBE4313A}"/>
    <cellStyle name="Millares 4 3 2" xfId="528" xr:uid="{8B0E5685-C239-492A-B2EE-8188C3E92D20}"/>
    <cellStyle name="Millares 4 3 2 2" xfId="756" xr:uid="{ACC889BD-809E-46ED-99EE-A2C88A0F7DAF}"/>
    <cellStyle name="Millares 4 3 2 2 2" xfId="1156" xr:uid="{27AE4F69-EA4F-4792-9B07-C6984FD37E55}"/>
    <cellStyle name="Millares 4 3 2 2 2 2" xfId="2739" xr:uid="{2EC9959D-8D04-460F-92E6-57EE0F1AA235}"/>
    <cellStyle name="Millares 4 3 2 2 2 2 2" xfId="4321" xr:uid="{8BEA7485-D480-4A5B-A417-F3414640EC30}"/>
    <cellStyle name="Millares 4 3 2 2 2 3" xfId="1948" xr:uid="{A10F6BAF-7FCC-496A-835E-4111DDA40A9F}"/>
    <cellStyle name="Millares 4 3 2 2 2 4" xfId="3530" xr:uid="{8C31AE85-F7AB-4E94-B7F6-2C9887A9FC14}"/>
    <cellStyle name="Millares 4 3 2 2 3" xfId="2345" xr:uid="{BFE9108D-FFA6-478C-900E-9EE106731978}"/>
    <cellStyle name="Millares 4 3 2 2 3 2" xfId="3927" xr:uid="{D9A76A24-239A-47BF-843C-DD7FD3196F73}"/>
    <cellStyle name="Millares 4 3 2 2 4" xfId="1554" xr:uid="{0744C468-393D-41BF-A2E8-6B522DA6AD99}"/>
    <cellStyle name="Millares 4 3 2 2 5" xfId="3136" xr:uid="{1F8BB5AB-C820-4A9F-9E39-A72091303020}"/>
    <cellStyle name="Millares 4 3 2 3" xfId="935" xr:uid="{3A54A6A1-C18E-433C-9920-9C002F2AE5EE}"/>
    <cellStyle name="Millares 4 3 2 3 2" xfId="2518" xr:uid="{B6B11DE9-1152-48AE-B283-1D700916E0D3}"/>
    <cellStyle name="Millares 4 3 2 3 2 2" xfId="4100" xr:uid="{8C8CA7ED-1F81-4B58-93A6-F4A8D9D89E3A}"/>
    <cellStyle name="Millares 4 3 2 3 3" xfId="1727" xr:uid="{A0959204-6553-431E-95F0-09A2BCCAF425}"/>
    <cellStyle name="Millares 4 3 2 3 4" xfId="3309" xr:uid="{DC0C0321-F98A-4C35-9421-D0DDE29AF644}"/>
    <cellStyle name="Millares 4 3 2 4" xfId="2124" xr:uid="{7944AA0C-9B41-4595-81F2-085915D925E7}"/>
    <cellStyle name="Millares 4 3 2 4 2" xfId="3706" xr:uid="{03E7B0B7-ECCE-4F10-8641-424F42CA7CA6}"/>
    <cellStyle name="Millares 4 3 2 5" xfId="1333" xr:uid="{D3F1FEBB-3619-4230-8DB5-2EA2FD5978E0}"/>
    <cellStyle name="Millares 4 3 2 6" xfId="2915" xr:uid="{ABBC5925-906B-4F96-9125-11F76F6C52CD}"/>
    <cellStyle name="Millares 4 3 3" xfId="605" xr:uid="{602073F0-34AD-4049-87E9-DB8A7F4458FD}"/>
    <cellStyle name="Millares 4 3 3 2" xfId="1012" xr:uid="{605C26DD-9D79-457B-8813-C187EEE25312}"/>
    <cellStyle name="Millares 4 3 3 2 2" xfId="2595" xr:uid="{FB9460D2-F66B-488A-A475-D49EE355822A}"/>
    <cellStyle name="Millares 4 3 3 2 2 2" xfId="4177" xr:uid="{6623D120-BF7A-4139-ACFD-29BFBA33E92A}"/>
    <cellStyle name="Millares 4 3 3 2 3" xfId="1804" xr:uid="{765046EC-CFA0-40CE-98FF-9E8A39458AE5}"/>
    <cellStyle name="Millares 4 3 3 2 4" xfId="3386" xr:uid="{BC6A7759-F44E-44AA-855C-D0D1F2FC5A9F}"/>
    <cellStyle name="Millares 4 3 3 3" xfId="2201" xr:uid="{6B318EC4-1955-44A7-AB65-9CDCD2A4750E}"/>
    <cellStyle name="Millares 4 3 3 3 2" xfId="3783" xr:uid="{C5FB7206-D519-4CD7-9F97-357A47C8FCFC}"/>
    <cellStyle name="Millares 4 3 3 4" xfId="1410" xr:uid="{B0E650F9-2BD3-463C-B81C-E47F6D6D9331}"/>
    <cellStyle name="Millares 4 3 3 5" xfId="2992" xr:uid="{D09C6C91-A750-4B1D-A2F9-A83A0BEFCD74}"/>
    <cellStyle name="Millares 4 3 4" xfId="680" xr:uid="{7167AD5A-EF93-4F03-B91B-CB12D67B1A12}"/>
    <cellStyle name="Millares 4 3 4 2" xfId="1080" xr:uid="{C82A541B-AAB2-491B-82BC-F49047288BEE}"/>
    <cellStyle name="Millares 4 3 4 2 2" xfId="2663" xr:uid="{74D110B2-A5CD-4711-94DE-CC780350E974}"/>
    <cellStyle name="Millares 4 3 4 2 2 2" xfId="4245" xr:uid="{2DDC4B33-F9D2-438C-AEB6-5228E7E71413}"/>
    <cellStyle name="Millares 4 3 4 2 3" xfId="1872" xr:uid="{20938A70-8197-410B-B9E0-BE5F138EABA3}"/>
    <cellStyle name="Millares 4 3 4 2 4" xfId="3454" xr:uid="{A2680CAD-87C3-4E5F-AA34-B0F909841EFF}"/>
    <cellStyle name="Millares 4 3 4 3" xfId="2269" xr:uid="{6D04345B-8D95-4B15-A8D3-BDBF4FF2473F}"/>
    <cellStyle name="Millares 4 3 4 3 2" xfId="3851" xr:uid="{A17F7016-A6F1-4160-AE06-63D141862B65}"/>
    <cellStyle name="Millares 4 3 4 4" xfId="1478" xr:uid="{E630EEFE-1F9F-4FAB-92CC-26BF1BB3D8C7}"/>
    <cellStyle name="Millares 4 3 4 5" xfId="3060" xr:uid="{E36C82F4-1640-4C01-935F-C52B4ED5EBA0}"/>
    <cellStyle name="Millares 4 3 5" xfId="859" xr:uid="{90448782-0BCD-4105-BEDA-6DA19FA00273}"/>
    <cellStyle name="Millares 4 3 5 2" xfId="2442" xr:uid="{538AE2C7-7B36-4680-A740-BE7CE9D266ED}"/>
    <cellStyle name="Millares 4 3 5 2 2" xfId="4024" xr:uid="{AA2E4ECE-CB40-4A74-9C8C-293FCDCDC7A2}"/>
    <cellStyle name="Millares 4 3 5 3" xfId="1651" xr:uid="{26DCE411-EEF7-44FF-BF27-C912E5CEE73C}"/>
    <cellStyle name="Millares 4 3 5 4" xfId="3233" xr:uid="{CD560EEF-D29A-46C9-9F05-6CBE7206529A}"/>
    <cellStyle name="Millares 4 3 6" xfId="2048" xr:uid="{1F381D0D-9D36-4B84-BA3D-799DC700FADF}"/>
    <cellStyle name="Millares 4 3 6 2" xfId="3630" xr:uid="{462DC0CB-25E1-45A9-AC48-BCF65FD8B43F}"/>
    <cellStyle name="Millares 4 3 7" xfId="1257" xr:uid="{4CE7FEE1-D8D4-4C99-ADA7-60CDB2D6574A}"/>
    <cellStyle name="Millares 4 3 8" xfId="2839" xr:uid="{62CCC95A-0671-4F55-BD14-4BCD02BF95A5}"/>
    <cellStyle name="Millares 4 4" xfId="487" xr:uid="{C2A54546-1B0D-49F9-BF20-257F50DF4E13}"/>
    <cellStyle name="Millares 4 4 2" xfId="715" xr:uid="{226ED13D-BDEF-47BB-9ACB-2223F6316F78}"/>
    <cellStyle name="Millares 4 4 2 2" xfId="1115" xr:uid="{B6EF71A9-6F3F-49DC-B751-C9EECB6D24C5}"/>
    <cellStyle name="Millares 4 4 2 2 2" xfId="2698" xr:uid="{0DAD19EB-C1D7-4B09-B12D-27B71FEE8C25}"/>
    <cellStyle name="Millares 4 4 2 2 2 2" xfId="4280" xr:uid="{518CBDD6-B114-4E42-A7F4-811E827D7F4A}"/>
    <cellStyle name="Millares 4 4 2 2 3" xfId="1907" xr:uid="{9E05D061-1D72-46CF-A0DE-D3B042F042AC}"/>
    <cellStyle name="Millares 4 4 2 2 4" xfId="3489" xr:uid="{B663EB8A-AFF6-4E68-8842-3D17A2AA5557}"/>
    <cellStyle name="Millares 4 4 2 3" xfId="2304" xr:uid="{C7959AD5-98D8-4F45-88FD-CD59C0E00E77}"/>
    <cellStyle name="Millares 4 4 2 3 2" xfId="3886" xr:uid="{56747497-F08A-43E3-BC12-5142A584E473}"/>
    <cellStyle name="Millares 4 4 2 4" xfId="1513" xr:uid="{2D161735-89FC-49AB-AD4B-EAE04819FBB8}"/>
    <cellStyle name="Millares 4 4 2 5" xfId="3095" xr:uid="{CB09E45D-5368-4C6C-B761-CCC298FBCCCE}"/>
    <cellStyle name="Millares 4 4 3" xfId="894" xr:uid="{7202A1BC-F7C3-4C1A-B831-EAF158143B09}"/>
    <cellStyle name="Millares 4 4 3 2" xfId="2477" xr:uid="{FC6B5224-329B-4FD7-B4A3-BC1CCC9527BA}"/>
    <cellStyle name="Millares 4 4 3 2 2" xfId="4059" xr:uid="{F0AE036F-CE33-4D82-9FB3-CBB17323116A}"/>
    <cellStyle name="Millares 4 4 3 3" xfId="1686" xr:uid="{CDCAA414-E6FC-45F2-809F-E01B2C1F8251}"/>
    <cellStyle name="Millares 4 4 3 4" xfId="3268" xr:uid="{C0B49B9D-133F-4147-8F2E-6DC53BECF6C1}"/>
    <cellStyle name="Millares 4 4 4" xfId="2083" xr:uid="{28C5E9DE-4521-4C12-B24B-273CA07B147F}"/>
    <cellStyle name="Millares 4 4 4 2" xfId="3665" xr:uid="{8924EE9F-E23A-4D98-B99C-11404FB2D82D}"/>
    <cellStyle name="Millares 4 4 5" xfId="1292" xr:uid="{F00BC0A9-66F0-4CAE-9E1F-F8F0FC4A12AE}"/>
    <cellStyle name="Millares 4 4 6" xfId="2874" xr:uid="{2617DE5E-F7F0-4D36-A653-00C315EF95D6}"/>
    <cellStyle name="Millares 4 5" xfId="564" xr:uid="{0FB8162F-1CE4-4E3D-B810-23FD0C5CF269}"/>
    <cellStyle name="Millares 4 5 2" xfId="971" xr:uid="{00EDA61B-5A7B-45B0-804C-7B432BC5FA51}"/>
    <cellStyle name="Millares 4 5 2 2" xfId="2554" xr:uid="{03897120-7DAE-4A33-B456-63576657596C}"/>
    <cellStyle name="Millares 4 5 2 2 2" xfId="4136" xr:uid="{A915118C-985D-494B-A4D8-3564B5980FB9}"/>
    <cellStyle name="Millares 4 5 2 3" xfId="1763" xr:uid="{64289879-F774-43A9-AD2B-E06D5D536D3B}"/>
    <cellStyle name="Millares 4 5 2 4" xfId="3345" xr:uid="{E9551AE0-6AB4-4E1E-9A90-22CE72FD9A6C}"/>
    <cellStyle name="Millares 4 5 3" xfId="2160" xr:uid="{D8004324-1FEA-422D-BF25-E7A900BC7C76}"/>
    <cellStyle name="Millares 4 5 3 2" xfId="3742" xr:uid="{972B5F94-E1F3-4FE2-A90A-7876D4248EB6}"/>
    <cellStyle name="Millares 4 5 4" xfId="1369" xr:uid="{0645DD7D-1D1F-4B9F-ACAE-7100ED3670A9}"/>
    <cellStyle name="Millares 4 5 5" xfId="2951" xr:uid="{BC85AFE9-DCD9-4889-84C6-7F214CD2D45C}"/>
    <cellStyle name="Millares 4 6" xfId="639" xr:uid="{7A86996E-F7A3-421A-ACA9-3A47BA61988F}"/>
    <cellStyle name="Millares 4 6 2" xfId="1039" xr:uid="{E7C96016-E4F9-443D-AAC3-3FF76F83C0CB}"/>
    <cellStyle name="Millares 4 6 2 2" xfId="2622" xr:uid="{A86255E2-38CA-49FA-8EB9-9014F60427CC}"/>
    <cellStyle name="Millares 4 6 2 2 2" xfId="4204" xr:uid="{01ADF5EC-7A68-4337-9DA1-7594DE008ECC}"/>
    <cellStyle name="Millares 4 6 2 3" xfId="1831" xr:uid="{0F7D1439-CB2B-493E-93CF-8ED7A1EF5949}"/>
    <cellStyle name="Millares 4 6 2 4" xfId="3413" xr:uid="{9D1367D7-3789-4095-B298-99E16F293F1D}"/>
    <cellStyle name="Millares 4 6 3" xfId="2228" xr:uid="{6A4F45DA-0E63-40F4-A4E1-B7433E2C2FF6}"/>
    <cellStyle name="Millares 4 6 3 2" xfId="3810" xr:uid="{0EE6CFE4-222D-4264-9F2F-4B41128B89BF}"/>
    <cellStyle name="Millares 4 6 4" xfId="1437" xr:uid="{8FC7C64E-0C5B-4DA3-B73C-801BAD6380AB}"/>
    <cellStyle name="Millares 4 6 5" xfId="3019" xr:uid="{374B910D-E127-4B77-A734-939368B7F63B}"/>
    <cellStyle name="Millares 4 7" xfId="791" xr:uid="{E82E9BEA-FE3A-4706-8D50-5284A3E725C7}"/>
    <cellStyle name="Millares 4 7 2" xfId="1191" xr:uid="{46EEBAA4-E1AC-431D-9C65-3DE1A9C58B07}"/>
    <cellStyle name="Millares 4 7 2 2" xfId="2774" xr:uid="{6C486F53-0C47-40DC-A276-D646B637AA76}"/>
    <cellStyle name="Millares 4 7 2 2 2" xfId="4356" xr:uid="{FA5E783B-7AF2-4FEF-A356-2B6C6124685C}"/>
    <cellStyle name="Millares 4 7 2 3" xfId="1983" xr:uid="{54015861-8207-48FB-80B8-D3E8807A758E}"/>
    <cellStyle name="Millares 4 7 2 4" xfId="3565" xr:uid="{D76485F3-34D6-45D4-A079-458C8EE84BB1}"/>
    <cellStyle name="Millares 4 7 3" xfId="2380" xr:uid="{CA423FED-D03A-4C72-946A-67FA5550C770}"/>
    <cellStyle name="Millares 4 7 3 2" xfId="3962" xr:uid="{B04847B8-6BF6-4060-97CE-7BA1893A1BFE}"/>
    <cellStyle name="Millares 4 7 4" xfId="1589" xr:uid="{8C190A3E-901B-4801-9619-087970AB53CE}"/>
    <cellStyle name="Millares 4 7 5" xfId="3171" xr:uid="{CBBEC8AE-2830-4AD7-B2E9-970DB06874BD}"/>
    <cellStyle name="Millares 4 8" xfId="818" xr:uid="{18F40BE0-1F5A-476D-88F9-22A792813855}"/>
    <cellStyle name="Millares 4 8 2" xfId="2401" xr:uid="{9793DB0C-8987-41F9-903D-65A714969693}"/>
    <cellStyle name="Millares 4 8 2 2" xfId="3983" xr:uid="{7A344065-C3DF-4C64-A85F-F744D28AD302}"/>
    <cellStyle name="Millares 4 8 3" xfId="1610" xr:uid="{5A60C18A-2013-46FE-A398-40515FA7ACFF}"/>
    <cellStyle name="Millares 4 8 4" xfId="3192" xr:uid="{4A1CCD7E-7334-4C50-97CE-2BEC00AD0706}"/>
    <cellStyle name="Millares 4 9" xfId="2007" xr:uid="{F322756D-D48B-4C9D-B890-F1ABEBD877CF}"/>
    <cellStyle name="Millares 4 9 2" xfId="3589" xr:uid="{D38E7A60-E1A0-4572-95DC-A729DC7247AC}"/>
    <cellStyle name="Millares 40" xfId="483" xr:uid="{1D0681E0-2FA4-47EA-A9FC-64E1A3B452F2}"/>
    <cellStyle name="Millares 40 2" xfId="559" xr:uid="{BAF10A62-3CC3-412B-9F2F-93F109D95C4E}"/>
    <cellStyle name="Millares 40 2 2" xfId="787" xr:uid="{C4B3FB06-9C14-4E48-AEF3-0321054D2B82}"/>
    <cellStyle name="Millares 40 2 2 2" xfId="1187" xr:uid="{1C713A00-C30A-4445-B757-6E88F4D718FA}"/>
    <cellStyle name="Millares 40 2 2 2 2" xfId="2770" xr:uid="{87BE8335-964F-45CA-AC4C-3FD13216E33E}"/>
    <cellStyle name="Millares 40 2 2 2 2 2" xfId="4352" xr:uid="{1C9E2A23-91A6-4EE1-BFC9-4A14BE857AFE}"/>
    <cellStyle name="Millares 40 2 2 2 3" xfId="1979" xr:uid="{CD973211-B0CA-4ADB-89E6-B623135785D2}"/>
    <cellStyle name="Millares 40 2 2 2 4" xfId="3561" xr:uid="{DD4C2225-D610-48E7-BF20-30A3F44EE22E}"/>
    <cellStyle name="Millares 40 2 2 3" xfId="2376" xr:uid="{7BF4F4AF-7D0D-42C2-9583-F481DF2EFCBC}"/>
    <cellStyle name="Millares 40 2 2 3 2" xfId="3958" xr:uid="{21737983-3D56-4E53-A98D-C65D94D6C0DF}"/>
    <cellStyle name="Millares 40 2 2 4" xfId="1585" xr:uid="{4E7124F7-B66D-4D75-BAE9-191B69041831}"/>
    <cellStyle name="Millares 40 2 2 5" xfId="3167" xr:uid="{D907F2F7-2E58-4B7F-A25B-CEE5C134AC24}"/>
    <cellStyle name="Millares 40 2 3" xfId="966" xr:uid="{73E2A4DF-6C96-41AB-8B74-3D840A589FC7}"/>
    <cellStyle name="Millares 40 2 3 2" xfId="2549" xr:uid="{2FB5DAA6-E293-4D10-AB5B-06FA7FDAAAE2}"/>
    <cellStyle name="Millares 40 2 3 2 2" xfId="4131" xr:uid="{7308DB41-479A-4F0D-A337-55AE533C7864}"/>
    <cellStyle name="Millares 40 2 3 3" xfId="1758" xr:uid="{FD7CFC1D-3235-4466-BF52-19F612B1994F}"/>
    <cellStyle name="Millares 40 2 3 4" xfId="3340" xr:uid="{6BE8CC90-8338-400D-8ADF-CA40C2A10B86}"/>
    <cellStyle name="Millares 40 2 4" xfId="2155" xr:uid="{E38F0E4B-76CA-4A0E-8ACB-4C81466CC9BD}"/>
    <cellStyle name="Millares 40 2 4 2" xfId="3737" xr:uid="{612EB190-79FA-4899-ABB0-886341C9D6AA}"/>
    <cellStyle name="Millares 40 2 5" xfId="1364" xr:uid="{30060B00-1E78-438E-9D68-46B03D13C354}"/>
    <cellStyle name="Millares 40 2 6" xfId="2946" xr:uid="{9B706602-5C7D-4FD8-927C-067CCA9B7225}"/>
    <cellStyle name="Millares 40 3" xfId="711" xr:uid="{15229549-0D33-4985-B865-F350686CA533}"/>
    <cellStyle name="Millares 40 3 2" xfId="1111" xr:uid="{954CD681-7614-4BB8-B9A1-0475B951893B}"/>
    <cellStyle name="Millares 40 3 2 2" xfId="2694" xr:uid="{ED47352E-26DC-45ED-9A3B-2310F9ECD7B2}"/>
    <cellStyle name="Millares 40 3 2 2 2" xfId="4276" xr:uid="{2DADB551-B3C3-40B6-A49C-C15C2149E2F2}"/>
    <cellStyle name="Millares 40 3 2 3" xfId="1903" xr:uid="{1A3D659F-3AD0-48D3-A8D8-F7D93FF0F38B}"/>
    <cellStyle name="Millares 40 3 2 4" xfId="3485" xr:uid="{2CF0EE96-ED29-4A2F-B35C-A5DAD1690197}"/>
    <cellStyle name="Millares 40 3 3" xfId="2300" xr:uid="{8A7DF6F4-518D-48C5-A993-D7C3287BF5D8}"/>
    <cellStyle name="Millares 40 3 3 2" xfId="3882" xr:uid="{40A45C37-D316-4F82-A494-207FD6A5CCFE}"/>
    <cellStyle name="Millares 40 3 4" xfId="1509" xr:uid="{2CD1D0D3-6E3C-4419-A080-8302A3F19CAE}"/>
    <cellStyle name="Millares 40 3 5" xfId="3091" xr:uid="{A2E50912-AC8E-4A37-8E18-A31155D6D9E3}"/>
    <cellStyle name="Millares 40 4" xfId="890" xr:uid="{99E44C5A-B371-48F8-97F2-0423E8FE64BF}"/>
    <cellStyle name="Millares 40 4 2" xfId="2473" xr:uid="{9EBC152A-76BC-492E-ABAA-8FB662629968}"/>
    <cellStyle name="Millares 40 4 2 2" xfId="4055" xr:uid="{5D589E50-74F2-438D-9E7B-66E06168CB59}"/>
    <cellStyle name="Millares 40 4 3" xfId="1682" xr:uid="{2901CD2A-9CAF-4253-BC27-391B8550B598}"/>
    <cellStyle name="Millares 40 4 4" xfId="3264" xr:uid="{9DF391F6-015D-40B3-B11F-274172FEA5FA}"/>
    <cellStyle name="Millares 40 5" xfId="2079" xr:uid="{C2494723-B4AD-4E5F-A23F-4C8B3959FDCE}"/>
    <cellStyle name="Millares 40 5 2" xfId="3661" xr:uid="{EC15E88D-EFBB-43FE-A64A-3CB037990FCF}"/>
    <cellStyle name="Millares 40 6" xfId="1288" xr:uid="{3A6618D9-0BBE-43FC-A42E-E2FD862641F5}"/>
    <cellStyle name="Millares 40 7" xfId="2870" xr:uid="{233D0C7F-A989-4823-836B-BC56EF7D7B16}"/>
    <cellStyle name="Millares 41" xfId="477" xr:uid="{ECD7E869-468A-4FAD-B26A-407AB65F2F6C}"/>
    <cellStyle name="Millares 41 2" xfId="553" xr:uid="{5B1E9914-5956-47C5-99DE-CAF3AB4EAAED}"/>
    <cellStyle name="Millares 41 2 2" xfId="781" xr:uid="{EC9309ED-74E8-421F-8EFB-5CE5E5077A34}"/>
    <cellStyle name="Millares 41 2 2 2" xfId="1181" xr:uid="{93922E06-4259-4F85-8AB5-E58E31CEBE8B}"/>
    <cellStyle name="Millares 41 2 2 2 2" xfId="2764" xr:uid="{B6B04464-EAB8-4488-B80E-49BEBB14F475}"/>
    <cellStyle name="Millares 41 2 2 2 2 2" xfId="4346" xr:uid="{ABE658E7-EC8D-4EC2-BE08-77553A6CA1B4}"/>
    <cellStyle name="Millares 41 2 2 2 3" xfId="1973" xr:uid="{E15BF3A8-6919-4ECC-9FBF-CFDD268857A3}"/>
    <cellStyle name="Millares 41 2 2 2 4" xfId="3555" xr:uid="{6220095A-8151-4CC5-9EF2-30C03D97166A}"/>
    <cellStyle name="Millares 41 2 2 3" xfId="2370" xr:uid="{9BC44333-270A-40AC-BECE-355053ACC85A}"/>
    <cellStyle name="Millares 41 2 2 3 2" xfId="3952" xr:uid="{724DCD21-3B60-4C81-ACE6-B8DB497214CC}"/>
    <cellStyle name="Millares 41 2 2 4" xfId="1579" xr:uid="{36CE77B2-2C3D-40A1-9EF1-27744467EFFF}"/>
    <cellStyle name="Millares 41 2 2 5" xfId="3161" xr:uid="{31673AEF-6E43-4795-94B2-B4988AA58D40}"/>
    <cellStyle name="Millares 41 2 3" xfId="960" xr:uid="{0C099BF0-038D-489A-A1FE-824EE7EE0DA3}"/>
    <cellStyle name="Millares 41 2 3 2" xfId="2543" xr:uid="{20BCC8E4-8356-4D0D-82F5-3212D50A0D0C}"/>
    <cellStyle name="Millares 41 2 3 2 2" xfId="4125" xr:uid="{3767D992-405D-40CB-B7E4-988B66758FD4}"/>
    <cellStyle name="Millares 41 2 3 3" xfId="1752" xr:uid="{0A29A454-68D8-452E-95D8-0FF446C84D3A}"/>
    <cellStyle name="Millares 41 2 3 4" xfId="3334" xr:uid="{239E8CDF-9298-46F6-A57B-645D34DE4D69}"/>
    <cellStyle name="Millares 41 2 4" xfId="2149" xr:uid="{8589FD38-70A8-420A-B893-80A1FFFA01B0}"/>
    <cellStyle name="Millares 41 2 4 2" xfId="3731" xr:uid="{9AAA0F68-FF34-47DB-B5E1-9CAA70C958A7}"/>
    <cellStyle name="Millares 41 2 5" xfId="1358" xr:uid="{1B6E68FB-2B8E-4647-8EA6-C26C269BB292}"/>
    <cellStyle name="Millares 41 2 6" xfId="2940" xr:uid="{16758AE5-E525-4856-A06D-C100C31F7856}"/>
    <cellStyle name="Millares 41 3" xfId="705" xr:uid="{39DBFB13-1DA5-437E-A07D-A9161B57F7D1}"/>
    <cellStyle name="Millares 41 3 2" xfId="1105" xr:uid="{6E860D0C-E0D0-42F4-9208-C37F2FF21D66}"/>
    <cellStyle name="Millares 41 3 2 2" xfId="2688" xr:uid="{5FDBBB44-4935-471B-B0D6-528D6459CFA3}"/>
    <cellStyle name="Millares 41 3 2 2 2" xfId="4270" xr:uid="{27AF3A52-512E-4DEB-9C25-9BD77E3898EC}"/>
    <cellStyle name="Millares 41 3 2 3" xfId="1897" xr:uid="{29194B4B-9994-4AE5-84F1-D3E2152C51A3}"/>
    <cellStyle name="Millares 41 3 2 4" xfId="3479" xr:uid="{39B1461C-1E56-43C1-8D97-A4CC4AB6184B}"/>
    <cellStyle name="Millares 41 3 3" xfId="2294" xr:uid="{FF986DFC-4E80-42F8-93B2-BC031CA7C064}"/>
    <cellStyle name="Millares 41 3 3 2" xfId="3876" xr:uid="{53FE9D51-DB9F-4CB9-B7FD-BA5CD4086C2B}"/>
    <cellStyle name="Millares 41 3 4" xfId="1503" xr:uid="{59475ED2-24EC-4EA4-96D9-9072B85EFFFD}"/>
    <cellStyle name="Millares 41 3 5" xfId="3085" xr:uid="{C18BD8CE-5846-47A0-AE82-8A9A7088685F}"/>
    <cellStyle name="Millares 41 4" xfId="884" xr:uid="{C5D9A5A8-5AAF-4E2C-A698-F98BF4149839}"/>
    <cellStyle name="Millares 41 4 2" xfId="2467" xr:uid="{C20D9A0B-8454-44E1-9A35-47B5DFB87724}"/>
    <cellStyle name="Millares 41 4 2 2" xfId="4049" xr:uid="{8D58BFBB-DFC9-43FE-98FC-6B152FB1B69E}"/>
    <cellStyle name="Millares 41 4 3" xfId="1676" xr:uid="{6C524E95-906A-4647-BE94-906D9EDA3F00}"/>
    <cellStyle name="Millares 41 4 4" xfId="3258" xr:uid="{55A8EEF7-34AD-467C-8658-D05E03C292B5}"/>
    <cellStyle name="Millares 41 5" xfId="2073" xr:uid="{BE7F4ADE-9D14-4EDD-A51B-4D0AD31DA453}"/>
    <cellStyle name="Millares 41 5 2" xfId="3655" xr:uid="{749E1474-98BC-4E77-ABBF-5128395E9727}"/>
    <cellStyle name="Millares 41 6" xfId="1282" xr:uid="{D9E1DD1C-74BF-410C-881E-52137F03D470}"/>
    <cellStyle name="Millares 41 7" xfId="2864" xr:uid="{57B85E7D-F7B3-4D48-BCAE-2BE71184DC70}"/>
    <cellStyle name="Millares 42" xfId="482" xr:uid="{8963E77C-D460-4322-8D00-6A0CAEC560FD}"/>
    <cellStyle name="Millares 42 2" xfId="558" xr:uid="{87A0AB27-DE11-4C22-A54E-E8571E4E71A6}"/>
    <cellStyle name="Millares 42 2 2" xfId="786" xr:uid="{E74E2297-4A33-4F38-BD97-E44320958323}"/>
    <cellStyle name="Millares 42 2 2 2" xfId="1186" xr:uid="{DCE99CB4-DB8E-4ED3-9E3F-6B5DB106B5E7}"/>
    <cellStyle name="Millares 42 2 2 2 2" xfId="2769" xr:uid="{ACBBDA82-B859-429C-8995-B491A0F5B698}"/>
    <cellStyle name="Millares 42 2 2 2 2 2" xfId="4351" xr:uid="{808EF8AE-8888-474D-9706-CDC0E89F1E6B}"/>
    <cellStyle name="Millares 42 2 2 2 3" xfId="1978" xr:uid="{FA858F9E-7F29-4C56-ACA0-BF76214DD595}"/>
    <cellStyle name="Millares 42 2 2 2 4" xfId="3560" xr:uid="{0FA0EF6E-4DF7-420E-89AC-276B0D632D77}"/>
    <cellStyle name="Millares 42 2 2 3" xfId="2375" xr:uid="{3A7B7B2A-004C-4FCA-99B9-D0D54791F0CC}"/>
    <cellStyle name="Millares 42 2 2 3 2" xfId="3957" xr:uid="{0A749D19-7BA6-482B-A08B-94EBD3459DB7}"/>
    <cellStyle name="Millares 42 2 2 4" xfId="1584" xr:uid="{704E9373-3846-4A0D-8C55-04E8B371337C}"/>
    <cellStyle name="Millares 42 2 2 5" xfId="3166" xr:uid="{50F72ED1-2891-4216-A824-829027380688}"/>
    <cellStyle name="Millares 42 2 3" xfId="965" xr:uid="{8D4F3308-BD5D-4315-BD3F-DE3012130555}"/>
    <cellStyle name="Millares 42 2 3 2" xfId="2548" xr:uid="{9BDF8758-EB3C-40C4-8828-55E3B1B5BBA8}"/>
    <cellStyle name="Millares 42 2 3 2 2" xfId="4130" xr:uid="{4EC5D916-19AC-436D-BFEC-453F2E314F52}"/>
    <cellStyle name="Millares 42 2 3 3" xfId="1757" xr:uid="{8A6E31DD-5EF0-40C3-8205-C4251EF8CC17}"/>
    <cellStyle name="Millares 42 2 3 4" xfId="3339" xr:uid="{CF5465A3-1D29-4DE7-BB37-566BB62D405C}"/>
    <cellStyle name="Millares 42 2 4" xfId="2154" xr:uid="{256113E6-9AD3-44E3-A7F7-4159036D2D62}"/>
    <cellStyle name="Millares 42 2 4 2" xfId="3736" xr:uid="{235179EE-185A-4DB4-8D11-2B16BB5C1CD4}"/>
    <cellStyle name="Millares 42 2 5" xfId="1363" xr:uid="{C8D29972-CCC4-47B8-AECF-312457C04E36}"/>
    <cellStyle name="Millares 42 2 6" xfId="2945" xr:uid="{85BFF356-151D-4C01-B3E0-F6C1BC387DE9}"/>
    <cellStyle name="Millares 42 3" xfId="710" xr:uid="{060DD46E-A14C-4226-8E62-206DDFF34A20}"/>
    <cellStyle name="Millares 42 3 2" xfId="1110" xr:uid="{24A5EAE1-568B-44EF-90A5-06586CEF1912}"/>
    <cellStyle name="Millares 42 3 2 2" xfId="2693" xr:uid="{5345A950-8248-44C8-8261-BB0F0510FD55}"/>
    <cellStyle name="Millares 42 3 2 2 2" xfId="4275" xr:uid="{390C9FF2-5B1E-4258-90DB-225D01989168}"/>
    <cellStyle name="Millares 42 3 2 3" xfId="1902" xr:uid="{D479FFE5-D2EA-47F6-8111-7419DDBA40D7}"/>
    <cellStyle name="Millares 42 3 2 4" xfId="3484" xr:uid="{C8C5C7A4-F708-441A-BF88-B15C41DE52B1}"/>
    <cellStyle name="Millares 42 3 3" xfId="2299" xr:uid="{28176230-8226-4D70-9E0A-AA8DF678AF0F}"/>
    <cellStyle name="Millares 42 3 3 2" xfId="3881" xr:uid="{44345A22-F0AD-4FCE-8BB1-D91F77FB2AA6}"/>
    <cellStyle name="Millares 42 3 4" xfId="1508" xr:uid="{E319838D-1A22-43B1-B623-D763E95EBA9B}"/>
    <cellStyle name="Millares 42 3 5" xfId="3090" xr:uid="{616CE8C7-2804-4F9C-A322-7DCA9201BCF8}"/>
    <cellStyle name="Millares 42 4" xfId="889" xr:uid="{566D5D4E-F795-4939-9FAC-1A356178867E}"/>
    <cellStyle name="Millares 42 4 2" xfId="2472" xr:uid="{D58FF2B1-7E08-4B34-9C3B-1D0307687B0E}"/>
    <cellStyle name="Millares 42 4 2 2" xfId="4054" xr:uid="{28741F03-3C5A-4E87-B086-23EC439A1517}"/>
    <cellStyle name="Millares 42 4 3" xfId="1681" xr:uid="{0F1A4286-2EE1-4229-A7A8-5D64A77A48A6}"/>
    <cellStyle name="Millares 42 4 4" xfId="3263" xr:uid="{6DC805E3-7DDE-4AA4-AF59-4B1EC3F040C9}"/>
    <cellStyle name="Millares 42 5" xfId="2078" xr:uid="{55F5768D-DE69-4BB9-8E13-05262456BFB0}"/>
    <cellStyle name="Millares 42 5 2" xfId="3660" xr:uid="{BD4A1386-F86B-4E0F-9A84-40C316A5CCE3}"/>
    <cellStyle name="Millares 42 6" xfId="1287" xr:uid="{E97A719C-4A47-4132-A72F-EA15F77F7C68}"/>
    <cellStyle name="Millares 42 7" xfId="2869" xr:uid="{73B9C214-681A-4B15-A961-92CA9657D5A5}"/>
    <cellStyle name="Millares 43" xfId="478" xr:uid="{AED8D574-14FA-4D52-8394-4311D0DF8989}"/>
    <cellStyle name="Millares 43 2" xfId="554" xr:uid="{3B8E8479-A707-46ED-976E-3D7006C62F22}"/>
    <cellStyle name="Millares 43 2 2" xfId="782" xr:uid="{2DC140BE-52F1-4C8D-842A-95D51670ED29}"/>
    <cellStyle name="Millares 43 2 2 2" xfId="1182" xr:uid="{B0B1B06F-CF33-4BFE-B96A-FE43EE5BF278}"/>
    <cellStyle name="Millares 43 2 2 2 2" xfId="2765" xr:uid="{9C44A341-8D8B-495B-A2ED-A902F2CDF9FC}"/>
    <cellStyle name="Millares 43 2 2 2 2 2" xfId="4347" xr:uid="{0C9F49DA-24A1-4694-8742-4AA1941A42EC}"/>
    <cellStyle name="Millares 43 2 2 2 3" xfId="1974" xr:uid="{A768DF23-B172-4DB4-9958-C16B5046F7B8}"/>
    <cellStyle name="Millares 43 2 2 2 4" xfId="3556" xr:uid="{1BCA0BCF-8D43-4E57-85CB-4975AF66F2C2}"/>
    <cellStyle name="Millares 43 2 2 3" xfId="2371" xr:uid="{3BE7B07E-8EA6-4BDE-B797-7DE08971E839}"/>
    <cellStyle name="Millares 43 2 2 3 2" xfId="3953" xr:uid="{FB955D56-085B-4F3D-8099-1DA62ED1ABB7}"/>
    <cellStyle name="Millares 43 2 2 4" xfId="1580" xr:uid="{37DEBECD-3B53-4F65-A441-8A92887E40D0}"/>
    <cellStyle name="Millares 43 2 2 5" xfId="3162" xr:uid="{69952626-FFF7-4415-8F66-678DD5078664}"/>
    <cellStyle name="Millares 43 2 3" xfId="961" xr:uid="{888BE86B-17DB-4A6F-BF1B-CF83B3CBF3DA}"/>
    <cellStyle name="Millares 43 2 3 2" xfId="2544" xr:uid="{64346FE0-5870-4717-B992-6E0FAFC7070C}"/>
    <cellStyle name="Millares 43 2 3 2 2" xfId="4126" xr:uid="{3716E2A9-D89A-4559-A5A1-ABBA0C54AA1A}"/>
    <cellStyle name="Millares 43 2 3 3" xfId="1753" xr:uid="{B15FCBEF-CD4B-4387-9D5F-AC8EAEFA6BB2}"/>
    <cellStyle name="Millares 43 2 3 4" xfId="3335" xr:uid="{2A284B39-782E-49F1-8D6F-3891230C6618}"/>
    <cellStyle name="Millares 43 2 4" xfId="2150" xr:uid="{F377CD17-6333-48A5-87E9-91300961C255}"/>
    <cellStyle name="Millares 43 2 4 2" xfId="3732" xr:uid="{4569A866-CB36-4888-9F78-580270E1058D}"/>
    <cellStyle name="Millares 43 2 5" xfId="1359" xr:uid="{6175BA1C-5F3F-494B-8F99-B1E59A3A41E8}"/>
    <cellStyle name="Millares 43 2 6" xfId="2941" xr:uid="{88C46A82-236F-4237-AE9E-BA735B5DC1A2}"/>
    <cellStyle name="Millares 43 3" xfId="706" xr:uid="{F8CEB78A-6AA3-4760-8EE6-036F548A1782}"/>
    <cellStyle name="Millares 43 3 2" xfId="1106" xr:uid="{8B0E3660-C108-47BF-B2D1-E38AB010BD73}"/>
    <cellStyle name="Millares 43 3 2 2" xfId="2689" xr:uid="{086B901D-B8F7-4306-B4BB-B5B071E60EC8}"/>
    <cellStyle name="Millares 43 3 2 2 2" xfId="4271" xr:uid="{D8B87372-737E-4D8B-A167-3C13FE2F898A}"/>
    <cellStyle name="Millares 43 3 2 3" xfId="1898" xr:uid="{B1A59674-C3EE-4AC4-9EC2-ADDAE82A4A08}"/>
    <cellStyle name="Millares 43 3 2 4" xfId="3480" xr:uid="{FCC4943C-AFA7-41E3-8BCF-73AD786FD10C}"/>
    <cellStyle name="Millares 43 3 3" xfId="2295" xr:uid="{8C341347-2810-47A4-88BD-5B1FB0FBC567}"/>
    <cellStyle name="Millares 43 3 3 2" xfId="3877" xr:uid="{8FA8BC4F-A5BC-4801-A649-0AAC30D95FB8}"/>
    <cellStyle name="Millares 43 3 4" xfId="1504" xr:uid="{410942FA-824E-411B-B4F6-0D4742B97183}"/>
    <cellStyle name="Millares 43 3 5" xfId="3086" xr:uid="{CB150D58-C946-4EF3-AAC7-F31D4097F41E}"/>
    <cellStyle name="Millares 43 4" xfId="885" xr:uid="{FB1790E8-88B4-4DCE-8556-FEBC7E64CA13}"/>
    <cellStyle name="Millares 43 4 2" xfId="2468" xr:uid="{A05E9F4F-10A7-4298-BC48-E47BDF62A381}"/>
    <cellStyle name="Millares 43 4 2 2" xfId="4050" xr:uid="{4F30A1E2-D3F0-429F-82DB-214CCA49077F}"/>
    <cellStyle name="Millares 43 4 3" xfId="1677" xr:uid="{01B2EB1C-5BF3-4B77-AA8E-889A33BD242C}"/>
    <cellStyle name="Millares 43 4 4" xfId="3259" xr:uid="{8C2FD4F4-4F36-48ED-93F4-FB9065627484}"/>
    <cellStyle name="Millares 43 5" xfId="2074" xr:uid="{E94FB2B0-7831-4DE9-A7B2-07127F958616}"/>
    <cellStyle name="Millares 43 5 2" xfId="3656" xr:uid="{E0035233-5F6C-4290-A2E7-1F4EDB2D8821}"/>
    <cellStyle name="Millares 43 6" xfId="1283" xr:uid="{BA9A5E18-2FA8-45E9-8A53-4AEDE22562ED}"/>
    <cellStyle name="Millares 43 7" xfId="2865" xr:uid="{581BDC91-298A-47E0-980C-FF07637F548C}"/>
    <cellStyle name="Millares 44" xfId="480" xr:uid="{CF5456C0-524B-4671-9327-6B8D1EAC4286}"/>
    <cellStyle name="Millares 44 2" xfId="556" xr:uid="{C35602A3-376E-45FC-BD60-4FF605979F98}"/>
    <cellStyle name="Millares 44 2 2" xfId="784" xr:uid="{A77E089A-620A-4892-99DF-A983651CD75A}"/>
    <cellStyle name="Millares 44 2 2 2" xfId="1184" xr:uid="{7B042584-78AE-4A13-8C70-A2E5D38E7EDA}"/>
    <cellStyle name="Millares 44 2 2 2 2" xfId="2767" xr:uid="{6D35A78D-108C-424C-B8B2-DB7935D15306}"/>
    <cellStyle name="Millares 44 2 2 2 2 2" xfId="4349" xr:uid="{1DE8368B-D6CA-4527-AD61-FB90ACDE659D}"/>
    <cellStyle name="Millares 44 2 2 2 3" xfId="1976" xr:uid="{8F5A5B62-913B-4545-BFC9-6E307A22EF43}"/>
    <cellStyle name="Millares 44 2 2 2 4" xfId="3558" xr:uid="{54C9040B-E83A-49A0-90DD-07FCB2AC8095}"/>
    <cellStyle name="Millares 44 2 2 3" xfId="2373" xr:uid="{53E9732A-0684-4DCF-BFA3-6F8B2387B305}"/>
    <cellStyle name="Millares 44 2 2 3 2" xfId="3955" xr:uid="{D779A12A-B726-4000-ACE1-77F471817375}"/>
    <cellStyle name="Millares 44 2 2 4" xfId="1582" xr:uid="{1BA6BCE0-6092-4FF9-BD92-31FB84804CE0}"/>
    <cellStyle name="Millares 44 2 2 5" xfId="3164" xr:uid="{67456F39-DA12-4149-A76A-317E698BD0D4}"/>
    <cellStyle name="Millares 44 2 3" xfId="963" xr:uid="{5D0F2DA1-00FD-48F7-828B-C561283E132C}"/>
    <cellStyle name="Millares 44 2 3 2" xfId="2546" xr:uid="{CFEBEC81-734C-4B26-BE9A-EC303A6BEAE6}"/>
    <cellStyle name="Millares 44 2 3 2 2" xfId="4128" xr:uid="{1449DA9C-B860-4C07-858B-F72CB9D7E927}"/>
    <cellStyle name="Millares 44 2 3 3" xfId="1755" xr:uid="{81F6FF02-A764-4DAD-B18B-C4262E96AE6F}"/>
    <cellStyle name="Millares 44 2 3 4" xfId="3337" xr:uid="{E55951A5-04F1-4783-8584-7A2AC3ED8CE0}"/>
    <cellStyle name="Millares 44 2 4" xfId="2152" xr:uid="{C5502A82-137A-401E-8334-AC6C78EAF487}"/>
    <cellStyle name="Millares 44 2 4 2" xfId="3734" xr:uid="{39389D95-B1C0-478B-AF43-CE4C900988A7}"/>
    <cellStyle name="Millares 44 2 5" xfId="1361" xr:uid="{8E1AB357-FCA6-4F7E-A770-683A1891E703}"/>
    <cellStyle name="Millares 44 2 6" xfId="2943" xr:uid="{D5294148-EADE-4DAF-9C2E-AEF8D2E3BCAE}"/>
    <cellStyle name="Millares 44 3" xfId="708" xr:uid="{1875ABA1-ABE6-409A-9B07-D88F49E5C40D}"/>
    <cellStyle name="Millares 44 3 2" xfId="1108" xr:uid="{78764224-D4F8-4C6D-BB95-90A6714654FB}"/>
    <cellStyle name="Millares 44 3 2 2" xfId="2691" xr:uid="{454798E9-FBC4-4444-82FE-1B60C744DB37}"/>
    <cellStyle name="Millares 44 3 2 2 2" xfId="4273" xr:uid="{44B3054A-68A0-4DB2-A3F0-2CAF9DADF844}"/>
    <cellStyle name="Millares 44 3 2 3" xfId="1900" xr:uid="{F92B6C41-A34E-4287-B506-2BAAA67FDF00}"/>
    <cellStyle name="Millares 44 3 2 4" xfId="3482" xr:uid="{F9E3292A-ECFC-4571-B8FF-12ED95992E27}"/>
    <cellStyle name="Millares 44 3 3" xfId="2297" xr:uid="{83BAF55D-15AC-4131-90A6-B41D184D1DE4}"/>
    <cellStyle name="Millares 44 3 3 2" xfId="3879" xr:uid="{01119DC6-5490-49BD-8293-C0D7D55CD3A7}"/>
    <cellStyle name="Millares 44 3 4" xfId="1506" xr:uid="{63DBE96F-313D-40A3-9F6D-1E722B377DFE}"/>
    <cellStyle name="Millares 44 3 5" xfId="3088" xr:uid="{AD141E4E-EDBA-40A5-9FCC-C2FDD53A4FD7}"/>
    <cellStyle name="Millares 44 4" xfId="887" xr:uid="{4E8760BF-61D7-42AA-916D-4F9733A6C122}"/>
    <cellStyle name="Millares 44 4 2" xfId="2470" xr:uid="{E8C8DA31-0D00-4C75-ACC0-A220DFB27C2E}"/>
    <cellStyle name="Millares 44 4 2 2" xfId="4052" xr:uid="{CE9D677F-A6A0-441E-A708-9C3FF0C3DC6A}"/>
    <cellStyle name="Millares 44 4 3" xfId="1679" xr:uid="{C23419ED-D92B-4D81-9190-DA79C91DC217}"/>
    <cellStyle name="Millares 44 4 4" xfId="3261" xr:uid="{4E7EED07-0AC5-489A-8CA5-BA450B9361D8}"/>
    <cellStyle name="Millares 44 5" xfId="2076" xr:uid="{FAD89666-DADF-4E48-8032-38ECDF88D54D}"/>
    <cellStyle name="Millares 44 5 2" xfId="3658" xr:uid="{878CB263-6559-4377-A90D-064FC56BCF36}"/>
    <cellStyle name="Millares 44 6" xfId="1285" xr:uid="{9E5B5090-7F42-4D16-A731-9A3A95F89CE6}"/>
    <cellStyle name="Millares 44 7" xfId="2867" xr:uid="{0C1F1F1E-BD98-4BBC-8D0F-D8BA3AF1DA5B}"/>
    <cellStyle name="Millares 45" xfId="481" xr:uid="{F24BAE73-85EF-4739-A73F-CEB8A481091B}"/>
    <cellStyle name="Millares 45 2" xfId="557" xr:uid="{54D72A96-F7CA-459F-81DA-582A72C019BB}"/>
    <cellStyle name="Millares 45 2 2" xfId="785" xr:uid="{11E096CC-5421-42DC-AC29-0A176D08A418}"/>
    <cellStyle name="Millares 45 2 2 2" xfId="1185" xr:uid="{1F33FC36-4CCD-4555-86F1-90D749E33FB1}"/>
    <cellStyle name="Millares 45 2 2 2 2" xfId="2768" xr:uid="{27508478-B85C-4244-8F7C-0B47B4FB542B}"/>
    <cellStyle name="Millares 45 2 2 2 2 2" xfId="4350" xr:uid="{EBB4133A-252D-42E6-BB2A-6C3DE04B5828}"/>
    <cellStyle name="Millares 45 2 2 2 3" xfId="1977" xr:uid="{C2FDCE5E-D71F-470B-A93C-887089BCC61A}"/>
    <cellStyle name="Millares 45 2 2 2 4" xfId="3559" xr:uid="{153AC9C5-5219-4093-8ECA-E4BA74194E3D}"/>
    <cellStyle name="Millares 45 2 2 3" xfId="2374" xr:uid="{14ACFE37-1550-4E52-818D-592A70A148DC}"/>
    <cellStyle name="Millares 45 2 2 3 2" xfId="3956" xr:uid="{D72D22E9-635D-4038-8D1A-CE62310C4E63}"/>
    <cellStyle name="Millares 45 2 2 4" xfId="1583" xr:uid="{92140E12-C5A7-4BE0-BE57-8B7DD1BE9964}"/>
    <cellStyle name="Millares 45 2 2 5" xfId="3165" xr:uid="{A201413C-CCB4-4FE2-B073-AB058EC28CC6}"/>
    <cellStyle name="Millares 45 2 3" xfId="964" xr:uid="{C83B7282-2719-4F04-9BCA-5F9CF55E72D7}"/>
    <cellStyle name="Millares 45 2 3 2" xfId="2547" xr:uid="{77F3E779-CA86-449B-86B2-04B690A85AD2}"/>
    <cellStyle name="Millares 45 2 3 2 2" xfId="4129" xr:uid="{10CAF543-1977-4704-B1A3-0B79E403C0AD}"/>
    <cellStyle name="Millares 45 2 3 3" xfId="1756" xr:uid="{207B5CB0-5A98-4244-B567-B4E60485B926}"/>
    <cellStyle name="Millares 45 2 3 4" xfId="3338" xr:uid="{E362CF1A-A83F-4821-8AE6-0466B4F87E28}"/>
    <cellStyle name="Millares 45 2 4" xfId="2153" xr:uid="{032776E6-7993-453F-91D8-79FA6DA5A5EC}"/>
    <cellStyle name="Millares 45 2 4 2" xfId="3735" xr:uid="{CD7FAF70-B344-4642-96BA-C8213F071CDC}"/>
    <cellStyle name="Millares 45 2 5" xfId="1362" xr:uid="{4C49402F-C573-4E67-907F-0AFBA1A4C068}"/>
    <cellStyle name="Millares 45 2 6" xfId="2944" xr:uid="{B9EFE317-216E-4F0A-84D6-CB3FC5A35B31}"/>
    <cellStyle name="Millares 45 3" xfId="709" xr:uid="{FC2C41A7-1433-42F8-B5C1-A9624275769E}"/>
    <cellStyle name="Millares 45 3 2" xfId="1109" xr:uid="{5A0D1555-18B4-47F1-8091-FA32BA23184C}"/>
    <cellStyle name="Millares 45 3 2 2" xfId="2692" xr:uid="{73F21E52-3754-4473-BEE9-294458CE3D15}"/>
    <cellStyle name="Millares 45 3 2 2 2" xfId="4274" xr:uid="{928920C4-31B0-41D6-A453-BA2BC6D2C95A}"/>
    <cellStyle name="Millares 45 3 2 3" xfId="1901" xr:uid="{DA92AD44-8111-478C-825E-ADFFA463FDD2}"/>
    <cellStyle name="Millares 45 3 2 4" xfId="3483" xr:uid="{AD2DF5E1-37DC-4EE8-85A9-718BC975E60D}"/>
    <cellStyle name="Millares 45 3 3" xfId="2298" xr:uid="{3A66DF87-B295-4972-B271-B0CE4AB99AF7}"/>
    <cellStyle name="Millares 45 3 3 2" xfId="3880" xr:uid="{FD5DE471-F56A-4AA1-ABEE-4878060C861F}"/>
    <cellStyle name="Millares 45 3 4" xfId="1507" xr:uid="{F86AF538-C74D-4EB6-8CFF-3BDBF32EB895}"/>
    <cellStyle name="Millares 45 3 5" xfId="3089" xr:uid="{3105251B-27E6-42A2-8603-0FD6F66827DB}"/>
    <cellStyle name="Millares 45 4" xfId="888" xr:uid="{D7DF9DAA-F622-4B41-8801-118BD9775928}"/>
    <cellStyle name="Millares 45 4 2" xfId="2471" xr:uid="{0BC4395D-4E7F-4CF1-AFD7-BC35BDF29A43}"/>
    <cellStyle name="Millares 45 4 2 2" xfId="4053" xr:uid="{AAB0771C-7DC4-4451-A675-97F359F96153}"/>
    <cellStyle name="Millares 45 4 3" xfId="1680" xr:uid="{A70098FB-0018-404F-9D04-8FEDC6CF3E6F}"/>
    <cellStyle name="Millares 45 4 4" xfId="3262" xr:uid="{F24C3BD2-21A0-4AB9-8B42-31BBE2A21527}"/>
    <cellStyle name="Millares 45 5" xfId="2077" xr:uid="{DEF89D1A-6A3D-4A58-A92D-A6CF79EAAB6C}"/>
    <cellStyle name="Millares 45 5 2" xfId="3659" xr:uid="{B3BB66EC-56FB-422B-AFE5-55AD98FD511F}"/>
    <cellStyle name="Millares 45 6" xfId="1286" xr:uid="{16D0DF8E-0EED-4058-86BC-1F13BC101D74}"/>
    <cellStyle name="Millares 45 7" xfId="2868" xr:uid="{B7B7212D-65DC-47A8-9DAF-F7D586292100}"/>
    <cellStyle name="Millares 46" xfId="484" xr:uid="{B9977CEE-C6C8-41BC-B2D5-245C1596F5E7}"/>
    <cellStyle name="Millares 46 2" xfId="712" xr:uid="{15225B7D-E5CC-4CDC-94B4-3E943EB35A1C}"/>
    <cellStyle name="Millares 46 2 2" xfId="1112" xr:uid="{DCE09C53-610C-4104-8EEB-0CCD2F7C5F2B}"/>
    <cellStyle name="Millares 46 2 2 2" xfId="2695" xr:uid="{23991CAF-C6A4-492A-ADE7-014F1D2AB6FA}"/>
    <cellStyle name="Millares 46 2 2 2 2" xfId="4277" xr:uid="{8B36DE5E-3689-49A6-95F3-0ADB9364FC38}"/>
    <cellStyle name="Millares 46 2 2 3" xfId="1904" xr:uid="{3ABB30B7-B53E-4EA7-8A9D-9826C82ACD0C}"/>
    <cellStyle name="Millares 46 2 2 4" xfId="3486" xr:uid="{4AEF5665-8190-42ED-904E-DF9620051519}"/>
    <cellStyle name="Millares 46 2 3" xfId="2301" xr:uid="{BEAB485B-A6BE-4D34-975C-FA25EA1EB20B}"/>
    <cellStyle name="Millares 46 2 3 2" xfId="3883" xr:uid="{561BCE04-305E-4D62-9A31-AE521F677575}"/>
    <cellStyle name="Millares 46 2 4" xfId="1510" xr:uid="{BBF1AB11-62EA-4C73-B190-AD974EE1097A}"/>
    <cellStyle name="Millares 46 2 5" xfId="3092" xr:uid="{17285834-1911-4BA8-90D9-759222C2660B}"/>
    <cellStyle name="Millares 46 3" xfId="891" xr:uid="{B59870CF-7480-4AAA-948C-56BA14F4EA1F}"/>
    <cellStyle name="Millares 46 3 2" xfId="2474" xr:uid="{D450EB50-86BE-4508-951B-9E013F9B5899}"/>
    <cellStyle name="Millares 46 3 2 2" xfId="4056" xr:uid="{7EEC28A8-8A20-4CD2-A6A2-6451FC3F5D8C}"/>
    <cellStyle name="Millares 46 3 3" xfId="1683" xr:uid="{98505C97-6B2C-4F9E-BD93-4F036B32FC40}"/>
    <cellStyle name="Millares 46 3 4" xfId="3265" xr:uid="{35C7E8CA-06A6-44A9-BC20-F715E6BFB606}"/>
    <cellStyle name="Millares 46 4" xfId="2080" xr:uid="{DB3CE5D6-8944-4A97-B2E6-ABD8DA93C410}"/>
    <cellStyle name="Millares 46 4 2" xfId="3662" xr:uid="{FDADCF34-87BB-4747-AACF-8050E698D7AE}"/>
    <cellStyle name="Millares 46 5" xfId="1289" xr:uid="{D3A0FE20-B3F1-40D7-8B2D-3A8CBE3FD29B}"/>
    <cellStyle name="Millares 46 6" xfId="2871" xr:uid="{747D05EA-969F-4399-A319-3A453C0ECAD5}"/>
    <cellStyle name="Millares 47" xfId="560" xr:uid="{B0A646F7-D9FA-46F7-992F-5DB25A7CA56A}"/>
    <cellStyle name="Millares 47 2" xfId="967" xr:uid="{D5E17FB5-2D61-423A-9225-0D7ED0E3B735}"/>
    <cellStyle name="Millares 47 2 2" xfId="2550" xr:uid="{E0039BD6-9981-4011-B369-95DC25E8D68A}"/>
    <cellStyle name="Millares 47 2 2 2" xfId="4132" xr:uid="{84F2FB43-2879-4B0F-87C9-635DB3288B24}"/>
    <cellStyle name="Millares 47 2 3" xfId="1759" xr:uid="{A020E64C-62F2-496F-B9F4-0E2DB3B3018C}"/>
    <cellStyle name="Millares 47 2 4" xfId="3341" xr:uid="{38D8A792-A5EC-40EB-9FFE-65C60D48D8CE}"/>
    <cellStyle name="Millares 47 3" xfId="2156" xr:uid="{778651BE-85A0-47A7-B853-3AD69594F64C}"/>
    <cellStyle name="Millares 47 3 2" xfId="3738" xr:uid="{6AB65359-7CC0-4796-AB77-916F66F43105}"/>
    <cellStyle name="Millares 47 4" xfId="1365" xr:uid="{8EC717A3-638F-4136-B745-63F54C8807DC}"/>
    <cellStyle name="Millares 47 5" xfId="2947" xr:uid="{904FC7BB-FF92-4184-BC18-E02DAB4B5A3C}"/>
    <cellStyle name="Millares 48" xfId="562" xr:uid="{57B38E48-FF66-4E98-968E-8EB36B457D1E}"/>
    <cellStyle name="Millares 48 2" xfId="969" xr:uid="{74BD5D75-E1EF-40E8-97DE-87F5FD6191AF}"/>
    <cellStyle name="Millares 48 2 2" xfId="2552" xr:uid="{3DF96A7C-484A-4A4F-B4B8-A33CDB946667}"/>
    <cellStyle name="Millares 48 2 2 2" xfId="4134" xr:uid="{74A087AF-AB54-4D02-974E-9089D1159C80}"/>
    <cellStyle name="Millares 48 2 3" xfId="1761" xr:uid="{8D4C17E2-6F1F-4B62-A0E8-6803F670ECCE}"/>
    <cellStyle name="Millares 48 2 4" xfId="3343" xr:uid="{6E73FAAD-9B79-4523-8EBC-E041FDA6C683}"/>
    <cellStyle name="Millares 48 3" xfId="2158" xr:uid="{EF01FECE-1645-4A6B-9082-D1CAD6AE6A88}"/>
    <cellStyle name="Millares 48 3 2" xfId="3740" xr:uid="{67A4D72B-2969-42CE-AA5F-84F9D842D7D0}"/>
    <cellStyle name="Millares 48 4" xfId="1367" xr:uid="{00AA4B49-8183-45D5-B327-2186282BE4C4}"/>
    <cellStyle name="Millares 48 5" xfId="2949" xr:uid="{6BD84CFA-814C-458C-83D2-957202351EEB}"/>
    <cellStyle name="Millares 49" xfId="636" xr:uid="{AD631C0B-F0CF-4684-83DA-37E680B6C89E}"/>
    <cellStyle name="Millares 49 2" xfId="1036" xr:uid="{3629CD15-544F-469C-8C04-748F30635ABC}"/>
    <cellStyle name="Millares 49 2 2" xfId="2619" xr:uid="{12229D77-93EF-4D5A-91C1-3C031EFC182F}"/>
    <cellStyle name="Millares 49 2 2 2" xfId="4201" xr:uid="{CC699F17-7F73-44A3-9C29-B753F940BB0C}"/>
    <cellStyle name="Millares 49 2 3" xfId="1828" xr:uid="{69384015-F3DA-49AA-9B88-82B113D91033}"/>
    <cellStyle name="Millares 49 2 4" xfId="3410" xr:uid="{02235292-14FA-4A74-ABFE-16B4D02BF91C}"/>
    <cellStyle name="Millares 49 3" xfId="2225" xr:uid="{6214C0E6-6DDF-4EE7-AD7E-0D41E1EDA831}"/>
    <cellStyle name="Millares 49 3 2" xfId="3807" xr:uid="{1A544058-F951-4DF1-9817-D06FA79A4404}"/>
    <cellStyle name="Millares 49 4" xfId="1434" xr:uid="{9FB8B766-A6C5-4411-99EE-E7A3B33FA7E7}"/>
    <cellStyle name="Millares 49 5" xfId="3016" xr:uid="{7D925FCD-5FA8-4BE0-B896-BA5782DEBAFB}"/>
    <cellStyle name="Millares 5" xfId="338" xr:uid="{C617D80A-A8A6-4AFD-896E-308367C90494}"/>
    <cellStyle name="Millares 5 10" xfId="1219" xr:uid="{3A1928A8-7DD4-49D7-9FA4-14554AADD247}"/>
    <cellStyle name="Millares 5 11" xfId="2801" xr:uid="{080816E8-54ED-4F17-ADEE-5881CA4031EE}"/>
    <cellStyle name="Millares 5 2" xfId="357" xr:uid="{3908F137-46FE-427F-B510-41872C14DD41}"/>
    <cellStyle name="Millares 5 2 10" xfId="2814" xr:uid="{1B2F2242-EFC2-4C3A-80EB-DBA4AC6511CF}"/>
    <cellStyle name="Millares 5 2 2" xfId="435" xr:uid="{EA51BAAE-8A10-4369-9933-BE6BEBD5EE75}"/>
    <cellStyle name="Millares 5 2 2 2" xfId="544" xr:uid="{C807891F-FAD1-43D9-A153-2D6854AD0C8B}"/>
    <cellStyle name="Millares 5 2 2 2 2" xfId="772" xr:uid="{A94C8DBB-CB4B-4E90-B7FB-AE88566DCE92}"/>
    <cellStyle name="Millares 5 2 2 2 2 2" xfId="1172" xr:uid="{49AA00FD-9BD6-49F7-B901-83D9893D7349}"/>
    <cellStyle name="Millares 5 2 2 2 2 2 2" xfId="2755" xr:uid="{07A359CC-74AB-4A38-B3BD-D046B0073015}"/>
    <cellStyle name="Millares 5 2 2 2 2 2 2 2" xfId="4337" xr:uid="{BE62E777-C2E1-48DD-9C4A-3676B6DB42D5}"/>
    <cellStyle name="Millares 5 2 2 2 2 2 3" xfId="1964" xr:uid="{BDCB11A5-9D73-4C2C-B21A-7CAA7F040231}"/>
    <cellStyle name="Millares 5 2 2 2 2 2 4" xfId="3546" xr:uid="{CFF6B7A9-A2B8-4D47-ABB5-DD77509DE94E}"/>
    <cellStyle name="Millares 5 2 2 2 2 3" xfId="2361" xr:uid="{B2E29BC0-6574-4E08-9917-6800774C395C}"/>
    <cellStyle name="Millares 5 2 2 2 2 3 2" xfId="3943" xr:uid="{43B78BD5-A3A9-4E21-B1BA-C1BBFF16B69B}"/>
    <cellStyle name="Millares 5 2 2 2 2 4" xfId="1570" xr:uid="{0397C0A8-258C-4A57-AD26-01BF015466DC}"/>
    <cellStyle name="Millares 5 2 2 2 2 5" xfId="3152" xr:uid="{CDF860CF-805C-4E79-A996-DA2F22BB2D8E}"/>
    <cellStyle name="Millares 5 2 2 2 3" xfId="951" xr:uid="{602ACDA9-5482-401D-8E2E-A751ADDCAA1B}"/>
    <cellStyle name="Millares 5 2 2 2 3 2" xfId="2534" xr:uid="{D6C4E2AC-CD4B-492E-82E0-EB3B46A1B6E4}"/>
    <cellStyle name="Millares 5 2 2 2 3 2 2" xfId="4116" xr:uid="{619407B6-1FB4-4A5C-BE90-09BFFA593D37}"/>
    <cellStyle name="Millares 5 2 2 2 3 3" xfId="1743" xr:uid="{DEA396AB-DB52-4E6F-83A4-BD934C24B937}"/>
    <cellStyle name="Millares 5 2 2 2 3 4" xfId="3325" xr:uid="{AD98187F-3462-4502-B3EF-F99581F23F10}"/>
    <cellStyle name="Millares 5 2 2 2 4" xfId="2140" xr:uid="{47D6ED8D-4209-4794-A25C-8C629161255E}"/>
    <cellStyle name="Millares 5 2 2 2 4 2" xfId="3722" xr:uid="{0F880761-0225-4206-93ED-C3C64158B852}"/>
    <cellStyle name="Millares 5 2 2 2 5" xfId="1349" xr:uid="{CB0709A3-FEAA-4869-A17C-3B94CB116485}"/>
    <cellStyle name="Millares 5 2 2 2 6" xfId="2931" xr:uid="{46CA9F4C-928B-400A-A646-31B42249D15E}"/>
    <cellStyle name="Millares 5 2 2 3" xfId="621" xr:uid="{9E1E7D31-EDD7-43F5-9A27-FC05A01CAD45}"/>
    <cellStyle name="Millares 5 2 2 3 2" xfId="1028" xr:uid="{B0239E81-5265-4DB5-8647-96066CF82812}"/>
    <cellStyle name="Millares 5 2 2 3 2 2" xfId="2611" xr:uid="{BD711C2A-6115-4449-A2A0-943E1C79E901}"/>
    <cellStyle name="Millares 5 2 2 3 2 2 2" xfId="4193" xr:uid="{EF00783B-D98B-443B-888B-8D31973CF9CD}"/>
    <cellStyle name="Millares 5 2 2 3 2 3" xfId="1820" xr:uid="{B329519A-4291-40AA-A223-E7CBDF832C61}"/>
    <cellStyle name="Millares 5 2 2 3 2 4" xfId="3402" xr:uid="{D9BA5176-276F-4A0D-9C30-7FC9F69F3F5E}"/>
    <cellStyle name="Millares 5 2 2 3 3" xfId="2217" xr:uid="{A67B78CF-0022-4159-A495-1A06E0173360}"/>
    <cellStyle name="Millares 5 2 2 3 3 2" xfId="3799" xr:uid="{AF4C0267-188B-4F34-BF2D-C4AB7F756CBF}"/>
    <cellStyle name="Millares 5 2 2 3 4" xfId="1426" xr:uid="{0EB6FC00-EDE1-425E-B0C7-FB69DA858DF2}"/>
    <cellStyle name="Millares 5 2 2 3 5" xfId="3008" xr:uid="{B3E9E9DB-9124-4951-A31C-C479135E78A9}"/>
    <cellStyle name="Millares 5 2 2 4" xfId="696" xr:uid="{56B11D47-07B1-46C4-AAB8-FD0862F02984}"/>
    <cellStyle name="Millares 5 2 2 4 2" xfId="1096" xr:uid="{9801AE8E-600E-4490-9318-1E6A8242E963}"/>
    <cellStyle name="Millares 5 2 2 4 2 2" xfId="2679" xr:uid="{07087F25-596A-4102-84AD-394DF24ED11B}"/>
    <cellStyle name="Millares 5 2 2 4 2 2 2" xfId="4261" xr:uid="{5D0F1099-10DE-46CB-BDDC-E11BF9A8C416}"/>
    <cellStyle name="Millares 5 2 2 4 2 3" xfId="1888" xr:uid="{E65864BA-012E-4E14-934D-02149E64BB55}"/>
    <cellStyle name="Millares 5 2 2 4 2 4" xfId="3470" xr:uid="{B06AAB6D-E288-4295-A364-B2C9141F5C19}"/>
    <cellStyle name="Millares 5 2 2 4 3" xfId="2285" xr:uid="{08D6AD3B-ADE9-4EED-B031-46832C1E6701}"/>
    <cellStyle name="Millares 5 2 2 4 3 2" xfId="3867" xr:uid="{CA97124C-3E7E-42A2-8575-A0F09F84B802}"/>
    <cellStyle name="Millares 5 2 2 4 4" xfId="1494" xr:uid="{13F909BE-D8CE-4453-886C-A07CF442488C}"/>
    <cellStyle name="Millares 5 2 2 4 5" xfId="3076" xr:uid="{4C2D046E-36F3-4C21-BBB3-5201A813DF23}"/>
    <cellStyle name="Millares 5 2 2 5" xfId="875" xr:uid="{F2F5C70C-5533-472B-8998-5684DE6871E3}"/>
    <cellStyle name="Millares 5 2 2 5 2" xfId="2458" xr:uid="{EF61C133-4770-484B-8D33-6993C37C062F}"/>
    <cellStyle name="Millares 5 2 2 5 2 2" xfId="4040" xr:uid="{CB845A68-3C3E-48DB-A305-9F0405A8CDF5}"/>
    <cellStyle name="Millares 5 2 2 5 3" xfId="1667" xr:uid="{5153DC7C-959B-467A-BBDF-D101F3BAAF7B}"/>
    <cellStyle name="Millares 5 2 2 5 4" xfId="3249" xr:uid="{6B81D9AA-DD61-47C1-8B4F-9B7F67E08674}"/>
    <cellStyle name="Millares 5 2 2 6" xfId="2064" xr:uid="{995C3131-F983-4CAB-8F31-6D98D52508CE}"/>
    <cellStyle name="Millares 5 2 2 6 2" xfId="3646" xr:uid="{BAB05F4F-4643-4C39-839B-1A852E5187BE}"/>
    <cellStyle name="Millares 5 2 2 7" xfId="1273" xr:uid="{D3F48687-B0C9-403E-9778-2AEB9E2226C1}"/>
    <cellStyle name="Millares 5 2 2 8" xfId="2855" xr:uid="{78036237-C387-40E9-9761-BFD3AE0DB6AC}"/>
    <cellStyle name="Millares 5 2 3" xfId="503" xr:uid="{A5B21A78-F3D7-4E46-8D4C-D78839540F58}"/>
    <cellStyle name="Millares 5 2 3 2" xfId="731" xr:uid="{695C7BF0-373D-42CA-831A-22C9E6635695}"/>
    <cellStyle name="Millares 5 2 3 2 2" xfId="1131" xr:uid="{E98A320C-F40F-42C3-AF27-A9A9EF39619D}"/>
    <cellStyle name="Millares 5 2 3 2 2 2" xfId="2714" xr:uid="{1DF6EADC-1BBA-466E-BBD4-3588E664A9B5}"/>
    <cellStyle name="Millares 5 2 3 2 2 2 2" xfId="4296" xr:uid="{C4ACF9CA-E332-4B58-BC2B-9E30ABAD0E24}"/>
    <cellStyle name="Millares 5 2 3 2 2 3" xfId="1923" xr:uid="{25A7849F-52A2-4E18-8884-0D2B22EE572F}"/>
    <cellStyle name="Millares 5 2 3 2 2 4" xfId="3505" xr:uid="{40525B93-58BD-4995-9BB6-E6FC7E2114BE}"/>
    <cellStyle name="Millares 5 2 3 2 3" xfId="2320" xr:uid="{5AB9067D-592F-4D00-86AB-BFA0C4C1A3DC}"/>
    <cellStyle name="Millares 5 2 3 2 3 2" xfId="3902" xr:uid="{DE81FF31-6641-44DE-9F4C-E223BF2C7A73}"/>
    <cellStyle name="Millares 5 2 3 2 4" xfId="1529" xr:uid="{853A95F5-07F1-44FB-AB04-2A2B71816DDE}"/>
    <cellStyle name="Millares 5 2 3 2 5" xfId="3111" xr:uid="{BF191A51-1223-45E7-941F-4A63D1B92012}"/>
    <cellStyle name="Millares 5 2 3 3" xfId="910" xr:uid="{60C6F24B-3966-4D6B-A891-D81018B4B981}"/>
    <cellStyle name="Millares 5 2 3 3 2" xfId="2493" xr:uid="{19D360BC-7E1F-4E46-8A96-E4DE34CFDEC9}"/>
    <cellStyle name="Millares 5 2 3 3 2 2" xfId="4075" xr:uid="{C92CF012-D3C4-4A7B-BDFA-7257D68802FA}"/>
    <cellStyle name="Millares 5 2 3 3 3" xfId="1702" xr:uid="{647C17C6-7D37-40CA-9065-7FF26DCB9562}"/>
    <cellStyle name="Millares 5 2 3 3 4" xfId="3284" xr:uid="{60854310-B54F-4309-ADCA-579115071265}"/>
    <cellStyle name="Millares 5 2 3 4" xfId="2099" xr:uid="{B731D924-4BFD-490A-9E37-593D65D6C80B}"/>
    <cellStyle name="Millares 5 2 3 4 2" xfId="3681" xr:uid="{449CCF6E-B717-4AD5-B97B-A5BC112300DC}"/>
    <cellStyle name="Millares 5 2 3 5" xfId="1308" xr:uid="{5ACFE98D-6A30-4AE1-B610-0A08C29ECA7A}"/>
    <cellStyle name="Millares 5 2 3 6" xfId="2890" xr:uid="{EE1C9DB6-3FA3-47CC-810D-8C76AE7081FA}"/>
    <cellStyle name="Millares 5 2 4" xfId="580" xr:uid="{7FF28A52-CC0E-4D76-AB1F-028D3B6FF5F4}"/>
    <cellStyle name="Millares 5 2 4 2" xfId="987" xr:uid="{CC3B6E44-D28A-40D2-88C0-E264C0C99D46}"/>
    <cellStyle name="Millares 5 2 4 2 2" xfId="2570" xr:uid="{6D02F512-C9DE-4789-B24D-F0F021B38130}"/>
    <cellStyle name="Millares 5 2 4 2 2 2" xfId="4152" xr:uid="{25994C27-C31C-44EE-AA3D-F65F8CF8E8EF}"/>
    <cellStyle name="Millares 5 2 4 2 3" xfId="1779" xr:uid="{0DEE10CB-F7D6-475A-BB0A-325CD979C035}"/>
    <cellStyle name="Millares 5 2 4 2 4" xfId="3361" xr:uid="{84C19CCE-CF57-4642-B5E9-D9F46E6DB129}"/>
    <cellStyle name="Millares 5 2 4 3" xfId="2176" xr:uid="{861FC777-832E-43A6-8B31-18E87C75F645}"/>
    <cellStyle name="Millares 5 2 4 3 2" xfId="3758" xr:uid="{B15A69A1-12A0-40CC-B9D0-01794EA52CBA}"/>
    <cellStyle name="Millares 5 2 4 4" xfId="1385" xr:uid="{D506A02A-A42A-449F-B9AD-137C545931AD}"/>
    <cellStyle name="Millares 5 2 4 5" xfId="2967" xr:uid="{2AC3CCA8-F563-4CA0-8715-A8BD2E82F149}"/>
    <cellStyle name="Millares 5 2 5" xfId="655" xr:uid="{E5D58AD9-6764-4C88-B289-5907C9A0DE7B}"/>
    <cellStyle name="Millares 5 2 5 2" xfId="1055" xr:uid="{02B30243-B5D9-405A-8E48-8075B3F6B185}"/>
    <cellStyle name="Millares 5 2 5 2 2" xfId="2638" xr:uid="{BFE7D60C-6546-4328-97D9-0DBF5E08AFFB}"/>
    <cellStyle name="Millares 5 2 5 2 2 2" xfId="4220" xr:uid="{928E4897-2625-4FBF-A0BA-BEF97015647C}"/>
    <cellStyle name="Millares 5 2 5 2 3" xfId="1847" xr:uid="{D1830DD7-0DA6-4B8D-8381-8ECC37177B11}"/>
    <cellStyle name="Millares 5 2 5 2 4" xfId="3429" xr:uid="{EA41123A-80F1-4EBA-A928-5BE8532E8DC6}"/>
    <cellStyle name="Millares 5 2 5 3" xfId="2244" xr:uid="{B0BF5493-3C47-4E7C-930E-DC610931C624}"/>
    <cellStyle name="Millares 5 2 5 3 2" xfId="3826" xr:uid="{D8DE22D4-BC31-4995-A18F-5985D3858207}"/>
    <cellStyle name="Millares 5 2 5 4" xfId="1453" xr:uid="{A1BA9342-EDB5-4B3F-884C-B5CE36B32094}"/>
    <cellStyle name="Millares 5 2 5 5" xfId="3035" xr:uid="{50514475-1004-4EAD-8121-7AD60EB6C20F}"/>
    <cellStyle name="Millares 5 2 6" xfId="807" xr:uid="{DBE6DA8B-8E5F-4A3B-A627-E5AEAA97905F}"/>
    <cellStyle name="Millares 5 2 6 2" xfId="1207" xr:uid="{B36683C2-1700-47DC-8C57-6F1B307ED325}"/>
    <cellStyle name="Millares 5 2 6 2 2" xfId="2790" xr:uid="{C7CA3E2C-AE4C-46B3-ACD1-B8D6B0856E1B}"/>
    <cellStyle name="Millares 5 2 6 2 2 2" xfId="4372" xr:uid="{DC0CF8B6-4A15-4416-A652-628D3BC91F6A}"/>
    <cellStyle name="Millares 5 2 6 2 3" xfId="1999" xr:uid="{09611B91-7378-4FF3-A6D8-9F0789DF7D5A}"/>
    <cellStyle name="Millares 5 2 6 2 4" xfId="3581" xr:uid="{F7175BC9-735F-4920-907C-E47DBC25356F}"/>
    <cellStyle name="Millares 5 2 6 3" xfId="2396" xr:uid="{29A5E087-304C-44B6-8E3A-7A86A7DBE81E}"/>
    <cellStyle name="Millares 5 2 6 3 2" xfId="3978" xr:uid="{CCC029D0-DFBC-4587-ABB0-862A5A959F32}"/>
    <cellStyle name="Millares 5 2 6 4" xfId="1605" xr:uid="{9CDDC357-DC7A-421A-9B99-76DA2F5F93B6}"/>
    <cellStyle name="Millares 5 2 6 5" xfId="3187" xr:uid="{85585DAE-9FFF-4257-8EB4-80EF6796E7CF}"/>
    <cellStyle name="Millares 5 2 7" xfId="834" xr:uid="{D5F3B547-E2BC-4F49-9490-F61B56170B3F}"/>
    <cellStyle name="Millares 5 2 7 2" xfId="2417" xr:uid="{AE659F08-F910-469C-BDFC-B80170C8A6D6}"/>
    <cellStyle name="Millares 5 2 7 2 2" xfId="3999" xr:uid="{E433A102-F81A-4B71-A3F8-8BAF93F0B68F}"/>
    <cellStyle name="Millares 5 2 7 3" xfId="1626" xr:uid="{359951FE-FD70-425B-B734-5D0434A358C0}"/>
    <cellStyle name="Millares 5 2 7 4" xfId="3208" xr:uid="{7F0E7010-80EE-466F-A4C5-299913B19213}"/>
    <cellStyle name="Millares 5 2 8" xfId="2023" xr:uid="{70D8FA08-E44A-44C4-A2BA-071C6A4A5E55}"/>
    <cellStyle name="Millares 5 2 8 2" xfId="3605" xr:uid="{0EE3DB5A-0927-4086-9AAE-04BB9D0EB9EC}"/>
    <cellStyle name="Millares 5 2 9" xfId="1232" xr:uid="{333C0A8D-4556-41B8-B8A9-BF719995ED2E}"/>
    <cellStyle name="Millares 5 3" xfId="416" xr:uid="{D26AA2B3-830D-4FEA-92EA-4F74911E455D}"/>
    <cellStyle name="Millares 5 3 2" xfId="531" xr:uid="{551E6EA1-6006-4351-8ECA-7DD408D27BD4}"/>
    <cellStyle name="Millares 5 3 2 2" xfId="759" xr:uid="{80BB47C2-3E83-4D2D-A3E9-4FDA052A9F0F}"/>
    <cellStyle name="Millares 5 3 2 2 2" xfId="1159" xr:uid="{11AD639F-77AF-4AE2-8533-6F161E68B583}"/>
    <cellStyle name="Millares 5 3 2 2 2 2" xfId="2742" xr:uid="{66FFD289-8D5C-4B6B-B2AE-E1756D9CCB7F}"/>
    <cellStyle name="Millares 5 3 2 2 2 2 2" xfId="4324" xr:uid="{F01BC1EF-F0EB-41BE-93BF-F1252C1F8E65}"/>
    <cellStyle name="Millares 5 3 2 2 2 3" xfId="1951" xr:uid="{D46CC34D-D0B5-4DAA-AD48-B845602F4AD4}"/>
    <cellStyle name="Millares 5 3 2 2 2 4" xfId="3533" xr:uid="{38E88F26-628A-4FA3-9EFA-EAA86371162F}"/>
    <cellStyle name="Millares 5 3 2 2 3" xfId="2348" xr:uid="{C9E14C83-34CD-4CDC-BE69-1BD9545EF982}"/>
    <cellStyle name="Millares 5 3 2 2 3 2" xfId="3930" xr:uid="{F2E07D33-5E55-4D7B-A244-32F58075EB94}"/>
    <cellStyle name="Millares 5 3 2 2 4" xfId="1557" xr:uid="{8C82FB40-D7D1-4F27-9ACD-CF557F00ECDD}"/>
    <cellStyle name="Millares 5 3 2 2 5" xfId="3139" xr:uid="{8847895D-8B29-40F6-ACFD-15497EBFFB4F}"/>
    <cellStyle name="Millares 5 3 2 3" xfId="938" xr:uid="{AAD59247-E94D-4D60-B1E7-942AE0A971C0}"/>
    <cellStyle name="Millares 5 3 2 3 2" xfId="2521" xr:uid="{A198E90F-434F-438E-A2B1-556B9B52EC19}"/>
    <cellStyle name="Millares 5 3 2 3 2 2" xfId="4103" xr:uid="{23A3DFB5-817E-444F-B943-CF02C5E97715}"/>
    <cellStyle name="Millares 5 3 2 3 3" xfId="1730" xr:uid="{416FE9FB-7C37-4B70-8C39-DBE9465BEFEC}"/>
    <cellStyle name="Millares 5 3 2 3 4" xfId="3312" xr:uid="{E969CE19-2AF6-4AFB-94B3-A2147992716E}"/>
    <cellStyle name="Millares 5 3 2 4" xfId="2127" xr:uid="{E6764FA3-BAFE-41D6-8A34-63F88EEE2D61}"/>
    <cellStyle name="Millares 5 3 2 4 2" xfId="3709" xr:uid="{1A1C3FF2-DE0C-4885-9EB1-571E9FF2A370}"/>
    <cellStyle name="Millares 5 3 2 5" xfId="1336" xr:uid="{CB122E05-CF49-423E-908B-49F406671897}"/>
    <cellStyle name="Millares 5 3 2 6" xfId="2918" xr:uid="{87728723-6A3D-4D82-AC24-A4906D77EA21}"/>
    <cellStyle name="Millares 5 3 3" xfId="608" xr:uid="{C7472B58-92AD-4CF5-B6B3-43E1CDA4951D}"/>
    <cellStyle name="Millares 5 3 3 2" xfId="1015" xr:uid="{04E3FFC9-A0BD-4F8F-AD56-C2D19CB6538B}"/>
    <cellStyle name="Millares 5 3 3 2 2" xfId="2598" xr:uid="{6B7CE417-CDA7-40FB-966F-F1415F473A81}"/>
    <cellStyle name="Millares 5 3 3 2 2 2" xfId="4180" xr:uid="{4E1907F8-63EB-4288-86E5-3BD76F9BD6B0}"/>
    <cellStyle name="Millares 5 3 3 2 3" xfId="1807" xr:uid="{7DC7C842-1EC6-42B3-BFE3-C3C666F6C8A0}"/>
    <cellStyle name="Millares 5 3 3 2 4" xfId="3389" xr:uid="{AF3CEDB7-2F2A-4E03-90BA-5D45078B2442}"/>
    <cellStyle name="Millares 5 3 3 3" xfId="2204" xr:uid="{5D22805F-A342-4D1E-A407-9D5A80F42514}"/>
    <cellStyle name="Millares 5 3 3 3 2" xfId="3786" xr:uid="{C95EF0E0-A146-4D14-8455-EE6CF3947C56}"/>
    <cellStyle name="Millares 5 3 3 4" xfId="1413" xr:uid="{335970E5-49B8-4855-9D1F-8C4A03D5EC48}"/>
    <cellStyle name="Millares 5 3 3 5" xfId="2995" xr:uid="{9F2A3A63-1911-4735-96C7-152B456166AB}"/>
    <cellStyle name="Millares 5 3 4" xfId="683" xr:uid="{A94DF6F9-8EF2-4477-85CF-6DF717D2529F}"/>
    <cellStyle name="Millares 5 3 4 2" xfId="1083" xr:uid="{EAC38B90-CE8D-466E-887F-BF2CE801A4D5}"/>
    <cellStyle name="Millares 5 3 4 2 2" xfId="2666" xr:uid="{C71E846B-9661-4CAD-9B26-051F0A5339E2}"/>
    <cellStyle name="Millares 5 3 4 2 2 2" xfId="4248" xr:uid="{7D9B0846-3BD1-4471-96E5-556E769515C8}"/>
    <cellStyle name="Millares 5 3 4 2 3" xfId="1875" xr:uid="{09DBEB03-B3BB-4DC8-B5FA-9937FBD278DE}"/>
    <cellStyle name="Millares 5 3 4 2 4" xfId="3457" xr:uid="{545C776F-E95C-4200-9B23-13989F0F66A7}"/>
    <cellStyle name="Millares 5 3 4 3" xfId="2272" xr:uid="{7D3C31D8-FF2B-44EF-9FA6-1F1D66AD5EFF}"/>
    <cellStyle name="Millares 5 3 4 3 2" xfId="3854" xr:uid="{2F394888-7F33-4E21-8246-2F35D3354608}"/>
    <cellStyle name="Millares 5 3 4 4" xfId="1481" xr:uid="{4B6F878C-6153-47AE-809B-EFB9189D318E}"/>
    <cellStyle name="Millares 5 3 4 5" xfId="3063" xr:uid="{5C8EEFCA-1914-4C14-A2FF-EC653E4661B5}"/>
    <cellStyle name="Millares 5 3 5" xfId="862" xr:uid="{B893D9F9-054F-487A-8F55-4FDF49C87B5D}"/>
    <cellStyle name="Millares 5 3 5 2" xfId="2445" xr:uid="{E6B3C951-DBD4-448F-B298-1135146D05A7}"/>
    <cellStyle name="Millares 5 3 5 2 2" xfId="4027" xr:uid="{7722AD39-7033-4F74-94F2-529BED513E42}"/>
    <cellStyle name="Millares 5 3 5 3" xfId="1654" xr:uid="{A42E2AE3-F49D-4AC1-B2E4-4D633BDEE8E8}"/>
    <cellStyle name="Millares 5 3 5 4" xfId="3236" xr:uid="{DF76EB8B-61D6-442C-ABC8-6FC11CE51967}"/>
    <cellStyle name="Millares 5 3 6" xfId="2051" xr:uid="{512570B6-1D15-46CF-80FA-7943BCDEF5DB}"/>
    <cellStyle name="Millares 5 3 6 2" xfId="3633" xr:uid="{0A8E329F-99BB-4E97-9241-26557475A347}"/>
    <cellStyle name="Millares 5 3 7" xfId="1260" xr:uid="{2DAFF788-467B-48E5-B54C-A5FE91E68142}"/>
    <cellStyle name="Millares 5 3 8" xfId="2842" xr:uid="{33CC2ACC-1691-4406-AED6-D62AEC881997}"/>
    <cellStyle name="Millares 5 4" xfId="490" xr:uid="{E3716637-00EE-46A4-815D-4E146332DDB4}"/>
    <cellStyle name="Millares 5 4 2" xfId="718" xr:uid="{439148CF-9A5C-4DC0-AEE6-C90856889F60}"/>
    <cellStyle name="Millares 5 4 2 2" xfId="1118" xr:uid="{6712B2FE-1DF0-48AD-8A3E-08996DE81B5E}"/>
    <cellStyle name="Millares 5 4 2 2 2" xfId="2701" xr:uid="{C15051DA-5309-4788-9001-D0DE205FEBCD}"/>
    <cellStyle name="Millares 5 4 2 2 2 2" xfId="4283" xr:uid="{E48C1126-0E16-4708-8D40-9ADDCFF14152}"/>
    <cellStyle name="Millares 5 4 2 2 3" xfId="1910" xr:uid="{AF306EB3-E189-4029-9453-D688E04CCAA0}"/>
    <cellStyle name="Millares 5 4 2 2 4" xfId="3492" xr:uid="{B97529C2-4BCA-499E-B24B-570044E5ADDF}"/>
    <cellStyle name="Millares 5 4 2 3" xfId="2307" xr:uid="{14D95928-F821-46D1-A461-68A3503B0CAC}"/>
    <cellStyle name="Millares 5 4 2 3 2" xfId="3889" xr:uid="{6CAC2EAC-620B-4B68-B804-54BA618892CE}"/>
    <cellStyle name="Millares 5 4 2 4" xfId="1516" xr:uid="{DC2E26BD-60A4-4EF8-A0A4-C988A8887393}"/>
    <cellStyle name="Millares 5 4 2 5" xfId="3098" xr:uid="{6F8227E0-705F-40FB-8317-3E1213D39DF6}"/>
    <cellStyle name="Millares 5 4 3" xfId="897" xr:uid="{30F67085-83D0-46C0-A582-F99BDFB42E4F}"/>
    <cellStyle name="Millares 5 4 3 2" xfId="2480" xr:uid="{BFFA31AB-53D2-4AC9-A58E-0416EE0B5DA6}"/>
    <cellStyle name="Millares 5 4 3 2 2" xfId="4062" xr:uid="{B85DC6B5-5B96-4692-9011-A1B511F34603}"/>
    <cellStyle name="Millares 5 4 3 3" xfId="1689" xr:uid="{F140F18E-C9AE-4CFC-8E16-9D20CDB6B377}"/>
    <cellStyle name="Millares 5 4 3 4" xfId="3271" xr:uid="{9E0FDA40-9630-45F6-A7BB-79307CBB6C90}"/>
    <cellStyle name="Millares 5 4 4" xfId="2086" xr:uid="{93367931-A691-40D6-B3CB-1D3D71DCC939}"/>
    <cellStyle name="Millares 5 4 4 2" xfId="3668" xr:uid="{550FB709-FC2F-44CA-9166-4DCF0A2918EC}"/>
    <cellStyle name="Millares 5 4 5" xfId="1295" xr:uid="{4404AEE0-51E2-4334-87DC-AA86683916BC}"/>
    <cellStyle name="Millares 5 4 6" xfId="2877" xr:uid="{AEB720DF-D5ED-4352-9EC3-4F03BA509827}"/>
    <cellStyle name="Millares 5 5" xfId="567" xr:uid="{AF857636-E1CF-4D33-94A2-D29C4E13996E}"/>
    <cellStyle name="Millares 5 5 2" xfId="974" xr:uid="{79B3CD79-DC0E-4AF3-B7B7-91F9BD893687}"/>
    <cellStyle name="Millares 5 5 2 2" xfId="2557" xr:uid="{BC02A039-9706-4466-AF3C-D75A0D817225}"/>
    <cellStyle name="Millares 5 5 2 2 2" xfId="4139" xr:uid="{71A3C058-9DF0-4504-8D01-C83E311FBF1E}"/>
    <cellStyle name="Millares 5 5 2 3" xfId="1766" xr:uid="{7B0ABF24-F3B3-4FEA-8E6D-0DA3BBE11DAB}"/>
    <cellStyle name="Millares 5 5 2 4" xfId="3348" xr:uid="{3F06B585-3A79-4656-A2E4-B48307E21389}"/>
    <cellStyle name="Millares 5 5 3" xfId="2163" xr:uid="{F77FA9B0-9693-4D51-900E-7005A2B2778B}"/>
    <cellStyle name="Millares 5 5 3 2" xfId="3745" xr:uid="{1C5BF7F0-2990-4D03-A0CB-601D06F90709}"/>
    <cellStyle name="Millares 5 5 4" xfId="1372" xr:uid="{61A87EAC-A334-4BC4-8743-626EAAAF3723}"/>
    <cellStyle name="Millares 5 5 5" xfId="2954" xr:uid="{B498862B-0DB8-4348-9FF7-807AA51A0A3B}"/>
    <cellStyle name="Millares 5 6" xfId="642" xr:uid="{0993F0A7-7322-4DD9-96F5-F68A44770573}"/>
    <cellStyle name="Millares 5 6 2" xfId="1042" xr:uid="{8F41AEE2-366F-4BF5-834B-960D840EDC5B}"/>
    <cellStyle name="Millares 5 6 2 2" xfId="2625" xr:uid="{9703A423-C9C4-459D-A74C-F81211A5559F}"/>
    <cellStyle name="Millares 5 6 2 2 2" xfId="4207" xr:uid="{CB6155EF-6B92-4A92-AF2E-14B25C830042}"/>
    <cellStyle name="Millares 5 6 2 3" xfId="1834" xr:uid="{8F1039E4-28B7-45C9-99DA-EDD2827DD18E}"/>
    <cellStyle name="Millares 5 6 2 4" xfId="3416" xr:uid="{F4C4E11F-D3C6-4C4C-A4EB-F328E71651C7}"/>
    <cellStyle name="Millares 5 6 3" xfId="2231" xr:uid="{E5CE058D-9897-4327-8C15-131EC0382714}"/>
    <cellStyle name="Millares 5 6 3 2" xfId="3813" xr:uid="{0FD53D87-E401-4B67-8C0C-3B1638AB2F41}"/>
    <cellStyle name="Millares 5 6 4" xfId="1440" xr:uid="{87A2ADA1-D8B5-4F18-8C5E-3B2D7C5DC359}"/>
    <cellStyle name="Millares 5 6 5" xfId="3022" xr:uid="{0BE7D602-6452-4006-942E-68631D7FB64C}"/>
    <cellStyle name="Millares 5 7" xfId="794" xr:uid="{9803C581-60C2-4DB5-8108-17935D0C8531}"/>
    <cellStyle name="Millares 5 7 2" xfId="1194" xr:uid="{DDB15EC6-0F89-4D19-A329-61CDEA97D223}"/>
    <cellStyle name="Millares 5 7 2 2" xfId="2777" xr:uid="{02AC0473-AECF-4FCA-A120-3FA87190F7AA}"/>
    <cellStyle name="Millares 5 7 2 2 2" xfId="4359" xr:uid="{46F30BA4-C957-4DF6-9800-7AA78D6FB8C3}"/>
    <cellStyle name="Millares 5 7 2 3" xfId="1986" xr:uid="{32631A7C-B5B4-4891-87D6-67A2C600BBD0}"/>
    <cellStyle name="Millares 5 7 2 4" xfId="3568" xr:uid="{ADA601D5-D289-4D3B-AEE6-505D1A3A726E}"/>
    <cellStyle name="Millares 5 7 3" xfId="2383" xr:uid="{C4AB5E95-2588-4F8D-A9FF-2C99663F0A5C}"/>
    <cellStyle name="Millares 5 7 3 2" xfId="3965" xr:uid="{2A5938E7-2BDB-44BE-A690-DF5F3E3DB199}"/>
    <cellStyle name="Millares 5 7 4" xfId="1592" xr:uid="{9FA9F287-9458-4A4A-BA8E-E470AA1AC9B0}"/>
    <cellStyle name="Millares 5 7 5" xfId="3174" xr:uid="{C8F85056-7BCB-4197-9518-A9C509DB4F2F}"/>
    <cellStyle name="Millares 5 8" xfId="821" xr:uid="{50C5B126-FFD3-4663-89E3-B74ABCE09E21}"/>
    <cellStyle name="Millares 5 8 2" xfId="2404" xr:uid="{938B682D-32A2-470B-8F93-A5744213E584}"/>
    <cellStyle name="Millares 5 8 2 2" xfId="3986" xr:uid="{BD748474-B362-450F-995A-8545AE33EFE6}"/>
    <cellStyle name="Millares 5 8 3" xfId="1613" xr:uid="{DCA824A2-7718-41C2-B7B9-4DA45C028FCA}"/>
    <cellStyle name="Millares 5 8 4" xfId="3195" xr:uid="{E98C52FD-C45F-4700-A824-D5D681C89212}"/>
    <cellStyle name="Millares 5 9" xfId="2010" xr:uid="{C81E33A0-6AE1-4A2B-8A6D-CCDBB238E2A2}"/>
    <cellStyle name="Millares 5 9 2" xfId="3592" xr:uid="{859CDA9C-904B-4FEB-80FE-3D8F04E60776}"/>
    <cellStyle name="Millares 50" xfId="788" xr:uid="{1AABD774-4859-4768-8588-4E4EF9B09F16}"/>
    <cellStyle name="Millares 50 2" xfId="1188" xr:uid="{0B04BBC1-A23F-49DB-B604-BBBD1241A967}"/>
    <cellStyle name="Millares 50 2 2" xfId="2771" xr:uid="{D4E8EEEF-5191-4FB5-8BF9-73CE3A66F5AD}"/>
    <cellStyle name="Millares 50 2 2 2" xfId="4353" xr:uid="{B236D49B-FD7E-4B8B-8010-F9CBF7CE4145}"/>
    <cellStyle name="Millares 50 2 3" xfId="1980" xr:uid="{2F53138D-D943-4AC6-9B86-5DE93D8ADD52}"/>
    <cellStyle name="Millares 50 2 4" xfId="3562" xr:uid="{1B9BDF1E-B922-46F2-AA00-91942F77C536}"/>
    <cellStyle name="Millares 50 3" xfId="2377" xr:uid="{650D3649-6E34-483F-B7B7-02EB655D079B}"/>
    <cellStyle name="Millares 50 3 2" xfId="3959" xr:uid="{2B886BC2-9BA1-4FBF-B90D-13F630B252CC}"/>
    <cellStyle name="Millares 50 4" xfId="1586" xr:uid="{873E9568-6C23-422F-A86A-B1F098BB43A8}"/>
    <cellStyle name="Millares 50 5" xfId="3168" xr:uid="{8CFF4174-DB3F-469C-9F46-C1C8F260FA1D}"/>
    <cellStyle name="Millares 51" xfId="809" xr:uid="{AEF92893-30C8-4DB0-B0FE-C2DBEB37B50D}"/>
    <cellStyle name="Millares 51 2" xfId="2398" xr:uid="{15EB4243-33D3-4D83-84C0-D8E9A7416437}"/>
    <cellStyle name="Millares 51 2 2" xfId="3980" xr:uid="{DD18A7D7-1408-4AEC-B256-8589708F04B6}"/>
    <cellStyle name="Millares 51 3" xfId="1607" xr:uid="{F0EA896B-D699-414B-A328-C0E295E6AE59}"/>
    <cellStyle name="Millares 51 4" xfId="3189" xr:uid="{EBAF8A6E-4127-4A52-ACB0-929275FB1018}"/>
    <cellStyle name="Millares 52" xfId="1209" xr:uid="{9B6576DF-5727-4B1B-A2DF-2F002C1039E1}"/>
    <cellStyle name="Millares 52 2" xfId="2792" xr:uid="{76F8DE07-72A8-4887-A8E5-76C0A0CA1215}"/>
    <cellStyle name="Millares 52 2 2" xfId="4374" xr:uid="{17080EF7-0333-4FFF-9F3D-6BAC64B70F09}"/>
    <cellStyle name="Millares 52 3" xfId="2001" xr:uid="{7A65607F-2310-4B97-8720-F373C966F851}"/>
    <cellStyle name="Millares 52 4" xfId="3583" xr:uid="{DC457DD0-C815-4ADA-A7EC-E3D1EDA6BBFE}"/>
    <cellStyle name="Millares 53" xfId="1211" xr:uid="{84F34D5B-052F-4EEA-89E1-4D88623B1AB5}"/>
    <cellStyle name="Millares 53 2" xfId="2793" xr:uid="{00636862-78AA-409D-B117-166A6B4659D0}"/>
    <cellStyle name="Millares 53 2 2" xfId="4375" xr:uid="{7DE2F71D-D1B2-416F-82CD-C44FDEFEFFA1}"/>
    <cellStyle name="Millares 53 3" xfId="2002" xr:uid="{8CF6AF20-9491-48BD-B7D0-65E0F9DC00C8}"/>
    <cellStyle name="Millares 53 4" xfId="3584" xr:uid="{25190217-392E-4E23-8D23-E29B874A0FC5}"/>
    <cellStyle name="Millares 54" xfId="2003" xr:uid="{FEAE8568-2DEE-4AE6-9C11-A6F8ED6129C1}"/>
    <cellStyle name="Millares 54 2" xfId="3585" xr:uid="{82CFD584-A5EE-46A3-B0F5-F5AC9BDE1D6F}"/>
    <cellStyle name="Millares 55" xfId="2005" xr:uid="{B405BCA6-0763-485A-81FF-20CA9095D904}"/>
    <cellStyle name="Millares 55 2" xfId="3587" xr:uid="{DE2A7BE1-0D24-4D17-A3DF-8299632F6081}"/>
    <cellStyle name="Millares 56" xfId="1213" xr:uid="{7CCAAF5B-1331-43C3-AF3F-6BF39DDA2B62}"/>
    <cellStyle name="Millares 57" xfId="2794" xr:uid="{C8CA6937-33C3-490F-80F4-FBA559EB3EB3}"/>
    <cellStyle name="Millares 58" xfId="2796" xr:uid="{0C01654D-949E-4B7C-AC3C-80DFA2D784F6}"/>
    <cellStyle name="Millares 59" xfId="4377" xr:uid="{E7C78023-1326-4C23-89D2-4784CDD7E02C}"/>
    <cellStyle name="Millares 6" xfId="341" xr:uid="{A4C3DBB8-11F0-406D-ACDC-2EFA49265979}"/>
    <cellStyle name="Millares 6 10" xfId="2804" xr:uid="{4539904F-C4C6-4100-9E84-D7A7F61350FA}"/>
    <cellStyle name="Millares 6 2" xfId="419" xr:uid="{45677CFE-48D8-4429-A6AC-C3B87AA0E676}"/>
    <cellStyle name="Millares 6 2 2" xfId="534" xr:uid="{C8EDFA4B-870C-46A8-988F-B2E2D8AC6664}"/>
    <cellStyle name="Millares 6 2 2 2" xfId="762" xr:uid="{662F2818-F858-487A-BBFE-8AE603729D6C}"/>
    <cellStyle name="Millares 6 2 2 2 2" xfId="1162" xr:uid="{3EC8AEA9-932D-4653-89F2-9EC34E263092}"/>
    <cellStyle name="Millares 6 2 2 2 2 2" xfId="2745" xr:uid="{E29620ED-A330-4CD4-952C-BBBE62267F09}"/>
    <cellStyle name="Millares 6 2 2 2 2 2 2" xfId="4327" xr:uid="{55E9A620-AFC8-4F5F-8E36-6B6A9D1A6D44}"/>
    <cellStyle name="Millares 6 2 2 2 2 3" xfId="1954" xr:uid="{6CD67F87-8F6F-4B22-8A76-49F31C05520A}"/>
    <cellStyle name="Millares 6 2 2 2 2 4" xfId="3536" xr:uid="{FC2EC68B-18DC-476B-930A-18575CB96F86}"/>
    <cellStyle name="Millares 6 2 2 2 3" xfId="2351" xr:uid="{8D94784E-1B0E-43D0-9B22-B32D7EC57D56}"/>
    <cellStyle name="Millares 6 2 2 2 3 2" xfId="3933" xr:uid="{084271F7-3CB2-46C0-9462-09DA8845BD73}"/>
    <cellStyle name="Millares 6 2 2 2 4" xfId="1560" xr:uid="{2E67E70C-1803-4FC4-AAC1-629261104EAE}"/>
    <cellStyle name="Millares 6 2 2 2 5" xfId="3142" xr:uid="{C0B8B313-6612-4AAB-BE60-8431C300434C}"/>
    <cellStyle name="Millares 6 2 2 3" xfId="941" xr:uid="{F04354CF-CA91-42C8-B08B-ED6E80C99FF2}"/>
    <cellStyle name="Millares 6 2 2 3 2" xfId="2524" xr:uid="{DAB2FBFD-EA77-40A9-B5F1-6BB8C6B365B1}"/>
    <cellStyle name="Millares 6 2 2 3 2 2" xfId="4106" xr:uid="{0BA13D67-C442-4511-B6EC-8DA00505A483}"/>
    <cellStyle name="Millares 6 2 2 3 3" xfId="1733" xr:uid="{39EA760D-1680-405E-A903-D6F6C4B99780}"/>
    <cellStyle name="Millares 6 2 2 3 4" xfId="3315" xr:uid="{F08FAF42-31ED-467D-91BC-473CDF66F5EC}"/>
    <cellStyle name="Millares 6 2 2 4" xfId="2130" xr:uid="{C8D4C6A0-86D6-4A07-95CC-28206D0A199E}"/>
    <cellStyle name="Millares 6 2 2 4 2" xfId="3712" xr:uid="{1ABD13D3-ABA0-4C31-AD03-2F8A8549F314}"/>
    <cellStyle name="Millares 6 2 2 5" xfId="1339" xr:uid="{550F798B-F6C9-494A-85C4-BCB8BDFAC1EC}"/>
    <cellStyle name="Millares 6 2 2 6" xfId="2921" xr:uid="{F8058A12-1DCC-4051-86DA-4C4CCAE92E6D}"/>
    <cellStyle name="Millares 6 2 3" xfId="611" xr:uid="{E47B43F7-B8E7-47A4-84D2-0E9FE456F75A}"/>
    <cellStyle name="Millares 6 2 3 2" xfId="1018" xr:uid="{F2438A8E-B8FC-44C2-B7A1-D370B163A023}"/>
    <cellStyle name="Millares 6 2 3 2 2" xfId="2601" xr:uid="{49ED337C-2686-4E7B-84EA-4BF840A43335}"/>
    <cellStyle name="Millares 6 2 3 2 2 2" xfId="4183" xr:uid="{5C8DB43C-E0B0-4CC5-A798-64CC8D085A8B}"/>
    <cellStyle name="Millares 6 2 3 2 3" xfId="1810" xr:uid="{038B88B2-5911-48F6-AEFF-E70F7D79C838}"/>
    <cellStyle name="Millares 6 2 3 2 4" xfId="3392" xr:uid="{845154C6-C788-45BD-94F8-C74B25253C1C}"/>
    <cellStyle name="Millares 6 2 3 3" xfId="2207" xr:uid="{57E02787-306D-4C7E-8E3E-0E37F4F52B7F}"/>
    <cellStyle name="Millares 6 2 3 3 2" xfId="3789" xr:uid="{974F5014-FC7B-4351-AF9C-40316C4F13C3}"/>
    <cellStyle name="Millares 6 2 3 4" xfId="1416" xr:uid="{9525E2F2-5FFC-4024-B50A-1F669E41B4FD}"/>
    <cellStyle name="Millares 6 2 3 5" xfId="2998" xr:uid="{E1842DF1-11AA-438A-9B0A-51B1AEC3942F}"/>
    <cellStyle name="Millares 6 2 4" xfId="686" xr:uid="{557341F0-357D-43EA-BDEE-F0072AD760E3}"/>
    <cellStyle name="Millares 6 2 4 2" xfId="1086" xr:uid="{03443B1D-FA00-46DB-A496-63CD348FB254}"/>
    <cellStyle name="Millares 6 2 4 2 2" xfId="2669" xr:uid="{57015494-C06E-490E-A71B-FD55F0D70088}"/>
    <cellStyle name="Millares 6 2 4 2 2 2" xfId="4251" xr:uid="{30BE5C6E-CB1D-4045-B927-C4329C45406B}"/>
    <cellStyle name="Millares 6 2 4 2 3" xfId="1878" xr:uid="{4BC0445F-69F3-4C51-BA54-8558E72FB991}"/>
    <cellStyle name="Millares 6 2 4 2 4" xfId="3460" xr:uid="{812FBC1B-5EE0-473A-ADFF-5042ADB34D41}"/>
    <cellStyle name="Millares 6 2 4 3" xfId="2275" xr:uid="{A822F89A-0174-4EEA-BF0B-340C6EB95931}"/>
    <cellStyle name="Millares 6 2 4 3 2" xfId="3857" xr:uid="{EC545D1A-C23B-4B76-AC99-7D1DF8ED9457}"/>
    <cellStyle name="Millares 6 2 4 4" xfId="1484" xr:uid="{BEEAE1E1-C1F2-4E2F-B75E-B36DB5D25DD6}"/>
    <cellStyle name="Millares 6 2 4 5" xfId="3066" xr:uid="{53BD1B5D-FAD6-43B9-B904-554E8897D477}"/>
    <cellStyle name="Millares 6 2 5" xfId="865" xr:uid="{BCA68DAE-B630-411D-89A4-1361B5E1B7D6}"/>
    <cellStyle name="Millares 6 2 5 2" xfId="2448" xr:uid="{E8ACAB06-A1D3-4315-B0CE-6586D471CC95}"/>
    <cellStyle name="Millares 6 2 5 2 2" xfId="4030" xr:uid="{9C5BCED9-C477-420D-B3FE-D12FD3CCC8A8}"/>
    <cellStyle name="Millares 6 2 5 3" xfId="1657" xr:uid="{2B5C418A-5D8A-4B74-9002-C9278B77DC63}"/>
    <cellStyle name="Millares 6 2 5 4" xfId="3239" xr:uid="{F4B95DF3-A084-4B7B-8951-D5D7884EF7E3}"/>
    <cellStyle name="Millares 6 2 6" xfId="2054" xr:uid="{8A3633E2-83A7-4BE5-88BD-6E4B9D92DF04}"/>
    <cellStyle name="Millares 6 2 6 2" xfId="3636" xr:uid="{95D270A2-9B93-4738-823A-4869D64108EF}"/>
    <cellStyle name="Millares 6 2 7" xfId="1263" xr:uid="{0BCE92E9-7632-4BF3-B347-13BE5559581F}"/>
    <cellStyle name="Millares 6 2 8" xfId="2845" xr:uid="{251AE52A-6093-41AD-A1F5-BC4B8B738182}"/>
    <cellStyle name="Millares 6 3" xfId="493" xr:uid="{1F0F85C8-A1EE-47D8-8F53-265506599AAF}"/>
    <cellStyle name="Millares 6 3 2" xfId="721" xr:uid="{415FEFA6-EAD1-4F25-9D0A-1A8759D1B903}"/>
    <cellStyle name="Millares 6 3 2 2" xfId="1121" xr:uid="{11938B70-8E66-4D0D-AE94-644266098A7E}"/>
    <cellStyle name="Millares 6 3 2 2 2" xfId="2704" xr:uid="{0BA21873-587D-4B3D-8873-F7BABE03164E}"/>
    <cellStyle name="Millares 6 3 2 2 2 2" xfId="4286" xr:uid="{184ACBEF-AAA1-4439-B086-9E3A79FE476D}"/>
    <cellStyle name="Millares 6 3 2 2 3" xfId="1913" xr:uid="{7E155669-DFE6-48B5-80CF-1C26FAF4527C}"/>
    <cellStyle name="Millares 6 3 2 2 4" xfId="3495" xr:uid="{79B20B64-FF76-40CA-8B4E-0A0D25D695D0}"/>
    <cellStyle name="Millares 6 3 2 3" xfId="2310" xr:uid="{316683BF-7A3E-4C7B-8D21-412F408E6FC8}"/>
    <cellStyle name="Millares 6 3 2 3 2" xfId="3892" xr:uid="{698AE043-9357-4601-AA0A-45DAFFDA55AC}"/>
    <cellStyle name="Millares 6 3 2 4" xfId="1519" xr:uid="{520B5408-37C9-444E-995C-F436347D5BD2}"/>
    <cellStyle name="Millares 6 3 2 5" xfId="3101" xr:uid="{DF8F17EF-B9F1-49E8-9538-D45EA7A3125C}"/>
    <cellStyle name="Millares 6 3 3" xfId="900" xr:uid="{79E36A3E-92AF-465C-BF3D-4E077EB8AFDC}"/>
    <cellStyle name="Millares 6 3 3 2" xfId="2483" xr:uid="{7A28ECE9-AC86-47A6-BFCE-3D6E32A0ACA1}"/>
    <cellStyle name="Millares 6 3 3 2 2" xfId="4065" xr:uid="{E2B2563E-CB5F-46F3-B6FE-0C5851A414E2}"/>
    <cellStyle name="Millares 6 3 3 3" xfId="1692" xr:uid="{533FFD45-F9DB-43C3-9518-0069C8959F9B}"/>
    <cellStyle name="Millares 6 3 3 4" xfId="3274" xr:uid="{A4AA38D1-EA8A-431D-875C-03819926A31B}"/>
    <cellStyle name="Millares 6 3 4" xfId="2089" xr:uid="{F4870578-CD95-4BA4-AF68-D1528A83B4AC}"/>
    <cellStyle name="Millares 6 3 4 2" xfId="3671" xr:uid="{C167DF45-672B-46FD-B762-17019D52B13C}"/>
    <cellStyle name="Millares 6 3 5" xfId="1298" xr:uid="{5AFFD353-5581-4B9D-A6B7-2B3D9D06E35A}"/>
    <cellStyle name="Millares 6 3 6" xfId="2880" xr:uid="{A73859EE-838D-4DF6-9974-507E635CA189}"/>
    <cellStyle name="Millares 6 4" xfId="570" xr:uid="{B59C593B-2BFE-422C-AAA2-EF087B74A651}"/>
    <cellStyle name="Millares 6 4 2" xfId="977" xr:uid="{97E04B72-C7E7-4C37-95AF-6BAA1907B526}"/>
    <cellStyle name="Millares 6 4 2 2" xfId="2560" xr:uid="{5837078F-5574-44AE-9449-C1E663CA5DCF}"/>
    <cellStyle name="Millares 6 4 2 2 2" xfId="4142" xr:uid="{46E0B98C-06C7-4DB7-A5C7-7050755A6C54}"/>
    <cellStyle name="Millares 6 4 2 3" xfId="1769" xr:uid="{A59B9B2E-0C9A-4241-9AAF-4CBF48BBA24E}"/>
    <cellStyle name="Millares 6 4 2 4" xfId="3351" xr:uid="{D90D5D46-BE0D-43F4-A27A-B7A830968D2D}"/>
    <cellStyle name="Millares 6 4 3" xfId="2166" xr:uid="{943FC252-45A7-495D-816C-BE17FB8157A9}"/>
    <cellStyle name="Millares 6 4 3 2" xfId="3748" xr:uid="{A746F9BD-FB15-4BE6-AAC5-A5F4EBBE1E01}"/>
    <cellStyle name="Millares 6 4 4" xfId="1375" xr:uid="{37A8CDCC-3CE1-4F17-8CB9-8A64D494301A}"/>
    <cellStyle name="Millares 6 4 5" xfId="2957" xr:uid="{E0A702BC-62AD-4FEC-81F9-60C30CF5E12D}"/>
    <cellStyle name="Millares 6 5" xfId="645" xr:uid="{EDCBEB16-6B24-4DA9-9BA7-A5B31684126A}"/>
    <cellStyle name="Millares 6 5 2" xfId="1045" xr:uid="{4B9019CB-5B39-4A26-80BA-2E53648C6279}"/>
    <cellStyle name="Millares 6 5 2 2" xfId="2628" xr:uid="{E714A08A-2D2E-4A46-BE06-EB438BE35EBA}"/>
    <cellStyle name="Millares 6 5 2 2 2" xfId="4210" xr:uid="{2E91A96B-AF5B-495B-B3E8-40818840B4AF}"/>
    <cellStyle name="Millares 6 5 2 3" xfId="1837" xr:uid="{0D87E210-DFB5-4E68-B944-18CF0E7764E6}"/>
    <cellStyle name="Millares 6 5 2 4" xfId="3419" xr:uid="{2AEA00BA-47D8-4103-971B-41B2C70D2060}"/>
    <cellStyle name="Millares 6 5 3" xfId="2234" xr:uid="{91720A12-D3FF-44B5-ACEE-67502639E528}"/>
    <cellStyle name="Millares 6 5 3 2" xfId="3816" xr:uid="{2E23DB48-5EF3-42E3-84CF-331C5CD80F02}"/>
    <cellStyle name="Millares 6 5 4" xfId="1443" xr:uid="{99C3EFAD-92D2-447A-9354-0D6B4826B139}"/>
    <cellStyle name="Millares 6 5 5" xfId="3025" xr:uid="{5363FAEF-332C-4D5A-B216-78FCC0BF378A}"/>
    <cellStyle name="Millares 6 6" xfId="797" xr:uid="{B54E8EFE-A486-4A65-B3D9-67F08DC07890}"/>
    <cellStyle name="Millares 6 6 2" xfId="1197" xr:uid="{C7FC9E50-E8BA-4712-BFE7-5A9343F397BC}"/>
    <cellStyle name="Millares 6 6 2 2" xfId="2780" xr:uid="{C7BDA88A-EEB1-419D-980E-916B6059AC79}"/>
    <cellStyle name="Millares 6 6 2 2 2" xfId="4362" xr:uid="{138A6BCD-D111-480B-B099-AF87EDA76780}"/>
    <cellStyle name="Millares 6 6 2 3" xfId="1989" xr:uid="{B323AD21-DACF-4AEC-B791-14E7439F73F4}"/>
    <cellStyle name="Millares 6 6 2 4" xfId="3571" xr:uid="{CE9D90AD-5687-4E80-A62C-CBCAA5B6E72F}"/>
    <cellStyle name="Millares 6 6 3" xfId="2386" xr:uid="{BF9DF2BD-05A9-4B4F-90DB-17E94BF4BE63}"/>
    <cellStyle name="Millares 6 6 3 2" xfId="3968" xr:uid="{992EF7FC-F476-4074-9AB5-0509B750B4CA}"/>
    <cellStyle name="Millares 6 6 4" xfId="1595" xr:uid="{2960562A-3A12-4A99-A189-A2848D34B4AE}"/>
    <cellStyle name="Millares 6 6 5" xfId="3177" xr:uid="{DA6054D8-2313-47DD-9B3D-772F2EF97677}"/>
    <cellStyle name="Millares 6 7" xfId="824" xr:uid="{836416A8-2756-409E-9681-8C3D39B845CD}"/>
    <cellStyle name="Millares 6 7 2" xfId="2407" xr:uid="{088E2ECB-FFD5-46C6-A271-0895EE7324BE}"/>
    <cellStyle name="Millares 6 7 2 2" xfId="3989" xr:uid="{4EAF6783-FFA1-4AC4-9EC9-2F9B91AD2D52}"/>
    <cellStyle name="Millares 6 7 3" xfId="1616" xr:uid="{1A90347E-841E-408F-BCB1-27B43E9B2633}"/>
    <cellStyle name="Millares 6 7 4" xfId="3198" xr:uid="{CBABEE79-618F-470C-B87B-01998AD82D4B}"/>
    <cellStyle name="Millares 6 8" xfId="2013" xr:uid="{5203B71D-24D5-4EBE-9917-4AB104AE68DB}"/>
    <cellStyle name="Millares 6 8 2" xfId="3595" xr:uid="{24055541-ADDF-4BEA-A013-994376CA5DBA}"/>
    <cellStyle name="Millares 6 9" xfId="1222" xr:uid="{D6EA27BF-7B61-42E8-B815-F604F6356F51}"/>
    <cellStyle name="Millares 60" xfId="4378" xr:uid="{DA59346C-0573-4689-BAB3-F5F37C95D0D7}"/>
    <cellStyle name="Millares 61" xfId="4380" xr:uid="{3B0A12A3-22C0-4B5D-AE45-C3DA99E4141F}"/>
    <cellStyle name="Millares 62" xfId="4392" xr:uid="{677415DF-A0C1-4F09-97C4-655563E7B507}"/>
    <cellStyle name="Millares 63" xfId="4379" xr:uid="{21971EFC-E3D4-48FE-88B7-7143F8857D91}"/>
    <cellStyle name="Millares 64" xfId="4383" xr:uid="{5B5518C6-20F6-4025-BB06-B5240422E1BC}"/>
    <cellStyle name="Millares 65" xfId="4390" xr:uid="{56D333CC-9CD4-45E7-9CEC-D02E816F2D66}"/>
    <cellStyle name="Millares 66" xfId="4385" xr:uid="{9962D629-0FC0-456C-9B94-0C7006AAE749}"/>
    <cellStyle name="Millares 67" xfId="4381" xr:uid="{F3B9CBD7-FB8A-4FB6-B046-D97C451F996C}"/>
    <cellStyle name="Millares 68" xfId="4391" xr:uid="{3E67550D-E3C5-41BA-B700-B6B1A1138B7E}"/>
    <cellStyle name="Millares 69" xfId="4382" xr:uid="{25BD7EE1-A583-4745-89DE-CC05A155F082}"/>
    <cellStyle name="Millares 7" xfId="349" xr:uid="{4ED81DBA-49B8-4774-8256-FC3F12116117}"/>
    <cellStyle name="Millares 7 10" xfId="2809" xr:uid="{2C7DD620-696A-4A03-B6FB-9EBF3714A2C2}"/>
    <cellStyle name="Millares 7 2" xfId="427" xr:uid="{A886CAE3-71A7-4550-805D-9C39937C3F36}"/>
    <cellStyle name="Millares 7 2 2" xfId="539" xr:uid="{CA19BCEB-9482-4909-BB57-A1611BB31C4E}"/>
    <cellStyle name="Millares 7 2 2 2" xfId="767" xr:uid="{CEEFCDB0-0F13-4CFE-BA70-A00518B40E9C}"/>
    <cellStyle name="Millares 7 2 2 2 2" xfId="1167" xr:uid="{074968D1-BE35-49F7-A846-1E20296EA57E}"/>
    <cellStyle name="Millares 7 2 2 2 2 2" xfId="2750" xr:uid="{785B7AC9-6805-46C0-AB1D-38E525233A10}"/>
    <cellStyle name="Millares 7 2 2 2 2 2 2" xfId="4332" xr:uid="{04176148-7040-4F64-9F1E-FECBE26E12E1}"/>
    <cellStyle name="Millares 7 2 2 2 2 3" xfId="1959" xr:uid="{4A66118F-855A-4392-8A75-46950A66FAF8}"/>
    <cellStyle name="Millares 7 2 2 2 2 4" xfId="3541" xr:uid="{B43F040B-A5D0-451B-BC7E-96063919D63B}"/>
    <cellStyle name="Millares 7 2 2 2 3" xfId="2356" xr:uid="{BFFDEC9E-5B48-43F6-A13A-075969269A81}"/>
    <cellStyle name="Millares 7 2 2 2 3 2" xfId="3938" xr:uid="{20B4DE80-F71E-4CBD-97CC-CAD8DF227C7F}"/>
    <cellStyle name="Millares 7 2 2 2 4" xfId="1565" xr:uid="{D3770A5A-F921-42DA-8270-D85A991F2ADD}"/>
    <cellStyle name="Millares 7 2 2 2 5" xfId="3147" xr:uid="{EFD2AB60-C112-4A01-B2CC-43C06A5846E7}"/>
    <cellStyle name="Millares 7 2 2 3" xfId="946" xr:uid="{F709298B-B695-40EE-9685-10DCC704E123}"/>
    <cellStyle name="Millares 7 2 2 3 2" xfId="2529" xr:uid="{CF1F91F2-FD7C-48FB-88F0-0D1F32EDCADB}"/>
    <cellStyle name="Millares 7 2 2 3 2 2" xfId="4111" xr:uid="{7DA278E0-FA45-4B4C-ACD5-B951314ADE1A}"/>
    <cellStyle name="Millares 7 2 2 3 3" xfId="1738" xr:uid="{D6A0FC90-3C31-4337-94E5-BC600B85BC79}"/>
    <cellStyle name="Millares 7 2 2 3 4" xfId="3320" xr:uid="{50D2E81A-8950-4568-8D69-DFB4E9805DA0}"/>
    <cellStyle name="Millares 7 2 2 4" xfId="2135" xr:uid="{2D4B1D0E-167B-46A6-B2F8-8D80AF537A4C}"/>
    <cellStyle name="Millares 7 2 2 4 2" xfId="3717" xr:uid="{2E1EB777-03E1-49C6-845E-1E0F66F975EA}"/>
    <cellStyle name="Millares 7 2 2 5" xfId="1344" xr:uid="{1B2B60DA-61B0-4AB0-B29A-1861CB58913C}"/>
    <cellStyle name="Millares 7 2 2 6" xfId="2926" xr:uid="{7A07908B-688D-4FBE-98E8-EA55C1035272}"/>
    <cellStyle name="Millares 7 2 3" xfId="616" xr:uid="{131F97A1-FA02-4E95-9C8D-9D8A9C6F6792}"/>
    <cellStyle name="Millares 7 2 3 2" xfId="1023" xr:uid="{D670B8B5-95C5-41A8-8735-DD8EBA84F9C3}"/>
    <cellStyle name="Millares 7 2 3 2 2" xfId="2606" xr:uid="{302A87AC-C360-488E-9F50-A372B133D3B7}"/>
    <cellStyle name="Millares 7 2 3 2 2 2" xfId="4188" xr:uid="{8C8BA94E-E1C2-4F64-8EB6-0427752B2066}"/>
    <cellStyle name="Millares 7 2 3 2 3" xfId="1815" xr:uid="{336BFFE1-AA3D-4B38-9DC7-A5C54EFB9EC6}"/>
    <cellStyle name="Millares 7 2 3 2 4" xfId="3397" xr:uid="{32A3D870-A44A-4B2C-9C96-A13CDB46903D}"/>
    <cellStyle name="Millares 7 2 3 3" xfId="2212" xr:uid="{961DD449-EE6F-4CE5-B942-A9F4A5A6E97D}"/>
    <cellStyle name="Millares 7 2 3 3 2" xfId="3794" xr:uid="{8ECC0740-878D-44C0-9CD5-C24F162F62A3}"/>
    <cellStyle name="Millares 7 2 3 4" xfId="1421" xr:uid="{1EAC0CE7-3011-412A-9086-91B154401648}"/>
    <cellStyle name="Millares 7 2 3 5" xfId="3003" xr:uid="{8B87E419-293E-4F0E-8567-FD745BE68E5F}"/>
    <cellStyle name="Millares 7 2 4" xfId="691" xr:uid="{338C159E-BA5B-4B1C-ACB3-F4BE6DB7D933}"/>
    <cellStyle name="Millares 7 2 4 2" xfId="1091" xr:uid="{8F9B5FEF-421C-4AD6-A974-B7A47707A4FF}"/>
    <cellStyle name="Millares 7 2 4 2 2" xfId="2674" xr:uid="{4106BB0E-84F1-487D-B9B6-3608BF8844AC}"/>
    <cellStyle name="Millares 7 2 4 2 2 2" xfId="4256" xr:uid="{76E9197A-C5A4-40FA-826F-7ED49AA2C410}"/>
    <cellStyle name="Millares 7 2 4 2 3" xfId="1883" xr:uid="{3837F440-4221-4BE4-ADFB-118E2EF7F90A}"/>
    <cellStyle name="Millares 7 2 4 2 4" xfId="3465" xr:uid="{BD11074E-93DF-4FC5-84BB-A981B59D79EF}"/>
    <cellStyle name="Millares 7 2 4 3" xfId="2280" xr:uid="{240BCA88-FDD0-4176-ADFE-EA179DE2E26A}"/>
    <cellStyle name="Millares 7 2 4 3 2" xfId="3862" xr:uid="{5319837C-EEC6-4B0E-9767-A3CBA2C6F0ED}"/>
    <cellStyle name="Millares 7 2 4 4" xfId="1489" xr:uid="{952E1982-AFA8-43EE-8433-06595C218AFE}"/>
    <cellStyle name="Millares 7 2 4 5" xfId="3071" xr:uid="{9850F1A0-6B0F-40D0-A633-86D8F973DB8F}"/>
    <cellStyle name="Millares 7 2 5" xfId="870" xr:uid="{A99AD340-E9FC-4353-ABD5-4BA59ED1E62C}"/>
    <cellStyle name="Millares 7 2 5 2" xfId="2453" xr:uid="{58690C42-632C-4E4A-80C3-C4BDA50318D1}"/>
    <cellStyle name="Millares 7 2 5 2 2" xfId="4035" xr:uid="{F3CCCB0B-0D71-4FC3-A5D9-008B6A364434}"/>
    <cellStyle name="Millares 7 2 5 3" xfId="1662" xr:uid="{5B993507-158E-42D5-875A-E1988B1F58CF}"/>
    <cellStyle name="Millares 7 2 5 4" xfId="3244" xr:uid="{760EDB8A-DE64-4FEF-9697-CD362A468107}"/>
    <cellStyle name="Millares 7 2 6" xfId="2059" xr:uid="{228357A5-AE7D-4507-B582-428EE288DF1B}"/>
    <cellStyle name="Millares 7 2 6 2" xfId="3641" xr:uid="{934E55AD-D5CF-42F1-869F-527C33A96B0E}"/>
    <cellStyle name="Millares 7 2 7" xfId="1268" xr:uid="{D5ACAB97-C8B9-462E-9FD9-C916C0D5714C}"/>
    <cellStyle name="Millares 7 2 8" xfId="2850" xr:uid="{7C6839B8-2255-49F0-8E65-8E5CA60B4125}"/>
    <cellStyle name="Millares 7 3" xfId="498" xr:uid="{1BC9DD27-8CDC-4BC6-9105-6803AABD0042}"/>
    <cellStyle name="Millares 7 3 2" xfId="726" xr:uid="{15920EEF-7B3C-40EE-8907-6FF622F94D69}"/>
    <cellStyle name="Millares 7 3 2 2" xfId="1126" xr:uid="{972A275C-1B17-4A3A-86BD-F30F8184611B}"/>
    <cellStyle name="Millares 7 3 2 2 2" xfId="2709" xr:uid="{BC25F484-4457-40D4-B1FF-95105B07C8CE}"/>
    <cellStyle name="Millares 7 3 2 2 2 2" xfId="4291" xr:uid="{B6B665F8-C762-4BB6-B574-BF386F4E1B5D}"/>
    <cellStyle name="Millares 7 3 2 2 3" xfId="1918" xr:uid="{107159B1-240F-4CAC-96C6-E1354626B1DA}"/>
    <cellStyle name="Millares 7 3 2 2 4" xfId="3500" xr:uid="{93828C07-0974-41F3-95A2-AF8F13DCA601}"/>
    <cellStyle name="Millares 7 3 2 3" xfId="2315" xr:uid="{31FD3099-2E0F-45BF-984D-43DCB9DFAE5D}"/>
    <cellStyle name="Millares 7 3 2 3 2" xfId="3897" xr:uid="{2028AD03-EEBF-4DB0-88B9-FA624B0E4BD0}"/>
    <cellStyle name="Millares 7 3 2 4" xfId="1524" xr:uid="{1D45679F-199C-4AB1-80A0-487F1D47E326}"/>
    <cellStyle name="Millares 7 3 2 5" xfId="3106" xr:uid="{08044275-0595-4728-9910-F0CC02F2982A}"/>
    <cellStyle name="Millares 7 3 3" xfId="905" xr:uid="{66BEC461-139B-4884-93BC-CB76F4E0B2E9}"/>
    <cellStyle name="Millares 7 3 3 2" xfId="2488" xr:uid="{79E73323-C5FB-46AA-8DCC-CB86F9503F0D}"/>
    <cellStyle name="Millares 7 3 3 2 2" xfId="4070" xr:uid="{4CA898DD-908A-40A4-9A64-AB5358C5F619}"/>
    <cellStyle name="Millares 7 3 3 3" xfId="1697" xr:uid="{2086F1A4-D03C-4993-9491-1688FD9A5EC4}"/>
    <cellStyle name="Millares 7 3 3 4" xfId="3279" xr:uid="{E1B51D3E-16B2-4A2F-9356-E55B0EB67D5E}"/>
    <cellStyle name="Millares 7 3 4" xfId="2094" xr:uid="{0C923AD7-5DF3-438C-B257-E04170D78F51}"/>
    <cellStyle name="Millares 7 3 4 2" xfId="3676" xr:uid="{7F1424E0-6DF1-4A96-B97B-A5A02A131FF2}"/>
    <cellStyle name="Millares 7 3 5" xfId="1303" xr:uid="{570A87F5-DBD0-43ED-89AF-C1B10C2A380F}"/>
    <cellStyle name="Millares 7 3 6" xfId="2885" xr:uid="{A79FD557-4824-4595-A4AE-2117F3A8AE1C}"/>
    <cellStyle name="Millares 7 4" xfId="575" xr:uid="{AE9A7680-9F50-4280-9802-1203E51A7E87}"/>
    <cellStyle name="Millares 7 4 2" xfId="982" xr:uid="{382EA5D8-4164-4398-BFBF-8BA92847698F}"/>
    <cellStyle name="Millares 7 4 2 2" xfId="2565" xr:uid="{19A15E90-7286-441F-A469-20DB19F3EC10}"/>
    <cellStyle name="Millares 7 4 2 2 2" xfId="4147" xr:uid="{07F091A7-2550-484C-BCC7-AC391D406136}"/>
    <cellStyle name="Millares 7 4 2 3" xfId="1774" xr:uid="{02302EBD-CF4A-4EB8-A98E-C802FC656241}"/>
    <cellStyle name="Millares 7 4 2 4" xfId="3356" xr:uid="{D5C034C8-F57D-46BF-BB4A-570EB626274C}"/>
    <cellStyle name="Millares 7 4 3" xfId="2171" xr:uid="{CD451BF4-0992-4A0F-A7AC-FDD6A357B8DA}"/>
    <cellStyle name="Millares 7 4 3 2" xfId="3753" xr:uid="{E7BD892F-5A28-4CDE-8935-1180F826E16D}"/>
    <cellStyle name="Millares 7 4 4" xfId="1380" xr:uid="{A391C0BD-F1F6-41B9-B66C-E535796C6519}"/>
    <cellStyle name="Millares 7 4 5" xfId="2962" xr:uid="{98D0DC21-2609-41ED-92E6-EC61E2B9E9B5}"/>
    <cellStyle name="Millares 7 5" xfId="650" xr:uid="{B923A043-70D7-4E92-B4B8-BC83394D9A16}"/>
    <cellStyle name="Millares 7 5 2" xfId="1050" xr:uid="{88C32939-3A33-4C65-BED3-C3FD1776E5B5}"/>
    <cellStyle name="Millares 7 5 2 2" xfId="2633" xr:uid="{15FA3B6F-2FD8-43BC-BA47-7D5DC7A0FEE5}"/>
    <cellStyle name="Millares 7 5 2 2 2" xfId="4215" xr:uid="{B49929E0-5B0F-40F2-A68E-FBC1FE393448}"/>
    <cellStyle name="Millares 7 5 2 3" xfId="1842" xr:uid="{E2DA8749-3BDB-46EB-8735-06253E28098D}"/>
    <cellStyle name="Millares 7 5 2 4" xfId="3424" xr:uid="{52234695-95AA-4691-996F-53D3FAC193AF}"/>
    <cellStyle name="Millares 7 5 3" xfId="2239" xr:uid="{F99F9E22-46E2-4BD5-B1EA-EB3DC090B3F9}"/>
    <cellStyle name="Millares 7 5 3 2" xfId="3821" xr:uid="{4C600EBB-5413-4DF2-B8CC-C9409A5A32AE}"/>
    <cellStyle name="Millares 7 5 4" xfId="1448" xr:uid="{F2ECC9A0-94DB-40CB-A426-C4F26EC2D931}"/>
    <cellStyle name="Millares 7 5 5" xfId="3030" xr:uid="{85EB71E2-A9FA-46DF-8817-D0086559C1E3}"/>
    <cellStyle name="Millares 7 6" xfId="802" xr:uid="{7D173BDD-94F5-44EF-8D89-DBFCCEE1E5DA}"/>
    <cellStyle name="Millares 7 6 2" xfId="1202" xr:uid="{3163DF00-124B-4C25-A0A5-9E3625B0E350}"/>
    <cellStyle name="Millares 7 6 2 2" xfId="2785" xr:uid="{960AC881-1964-44F1-90A4-254E072F5CFE}"/>
    <cellStyle name="Millares 7 6 2 2 2" xfId="4367" xr:uid="{CC259236-7778-4E12-8C1B-C7708BDD8C85}"/>
    <cellStyle name="Millares 7 6 2 3" xfId="1994" xr:uid="{74FC8344-E15F-4BB0-B220-346C258AE97F}"/>
    <cellStyle name="Millares 7 6 2 4" xfId="3576" xr:uid="{A45B95AF-5BC2-4E85-B16C-6DB5548977A3}"/>
    <cellStyle name="Millares 7 6 3" xfId="2391" xr:uid="{E79EDF7C-41EB-44BF-A917-21E1D54F42C6}"/>
    <cellStyle name="Millares 7 6 3 2" xfId="3973" xr:uid="{0B74A8F5-0DA5-491B-B5A1-68F08B48F393}"/>
    <cellStyle name="Millares 7 6 4" xfId="1600" xr:uid="{913215B3-35A4-480A-819B-042F63DECCCA}"/>
    <cellStyle name="Millares 7 6 5" xfId="3182" xr:uid="{B58BA8D5-6C4D-4A20-A122-3A579CCF2AA2}"/>
    <cellStyle name="Millares 7 7" xfId="829" xr:uid="{50B80EC7-CF73-4A15-AD40-1D28FBACA67F}"/>
    <cellStyle name="Millares 7 7 2" xfId="2412" xr:uid="{E7EE82B8-7745-45EA-B8D2-EA087D4B462C}"/>
    <cellStyle name="Millares 7 7 2 2" xfId="3994" xr:uid="{37CAE04D-A714-47CF-A148-75030E6D434E}"/>
    <cellStyle name="Millares 7 7 3" xfId="1621" xr:uid="{EE0A45E5-F9D6-485B-A971-98BDFA7CB739}"/>
    <cellStyle name="Millares 7 7 4" xfId="3203" xr:uid="{7B03443A-8095-485D-8BDD-1910E027C1B0}"/>
    <cellStyle name="Millares 7 8" xfId="2018" xr:uid="{9D367690-F7C0-453F-BC5E-A00DDB035CE3}"/>
    <cellStyle name="Millares 7 8 2" xfId="3600" xr:uid="{93C65F1A-C668-4859-BE8C-F679EBA607F3}"/>
    <cellStyle name="Millares 7 9" xfId="1227" xr:uid="{C04340D2-152F-4210-BBD5-96AEC23992B6}"/>
    <cellStyle name="Millares 70" xfId="4388" xr:uid="{0FDF1FC6-F49E-4AAC-A8FA-6A1EE4109918}"/>
    <cellStyle name="Millares 71" xfId="4387" xr:uid="{1EA076AB-0218-42E4-805F-3B2D21D9EA3C}"/>
    <cellStyle name="Millares 72" xfId="4384" xr:uid="{E74E7130-79A8-4FB0-8E10-8FD27B5765E3}"/>
    <cellStyle name="Millares 73" xfId="4386" xr:uid="{1C7AA8EC-012A-41C2-B68D-5A066E8673ED}"/>
    <cellStyle name="Millares 74" xfId="4389" xr:uid="{02C22185-615B-40A3-8032-408A1FF16F2E}"/>
    <cellStyle name="Millares 8" xfId="342" xr:uid="{88A8F95F-5242-4553-8918-A9AD0FE19007}"/>
    <cellStyle name="Millares 8 10" xfId="2805" xr:uid="{7DB88353-8E46-443D-9040-C0147CA245E0}"/>
    <cellStyle name="Millares 8 2" xfId="420" xr:uid="{271D4978-218B-4B0A-9B3A-EE1CB640C244}"/>
    <cellStyle name="Millares 8 2 2" xfId="535" xr:uid="{7B7FBE3B-34B3-4186-87BB-7FF94989682B}"/>
    <cellStyle name="Millares 8 2 2 2" xfId="763" xr:uid="{1E6D33F5-35D5-4250-9FE4-2C275B0F538A}"/>
    <cellStyle name="Millares 8 2 2 2 2" xfId="1163" xr:uid="{3E8065F8-A3E7-4017-87F5-1343F93D3DAA}"/>
    <cellStyle name="Millares 8 2 2 2 2 2" xfId="2746" xr:uid="{26498041-9628-439D-A7F0-1C9BD835A7F9}"/>
    <cellStyle name="Millares 8 2 2 2 2 2 2" xfId="4328" xr:uid="{C96DAA15-1EEB-48C5-A819-22AE8243BC94}"/>
    <cellStyle name="Millares 8 2 2 2 2 3" xfId="1955" xr:uid="{29C9BDA5-C545-4A06-A17A-929795B2AFCC}"/>
    <cellStyle name="Millares 8 2 2 2 2 4" xfId="3537" xr:uid="{589885F6-1709-42AA-AE0B-765291BA8BDA}"/>
    <cellStyle name="Millares 8 2 2 2 3" xfId="2352" xr:uid="{0B13CC39-D785-4113-9C57-20F6976DE9E6}"/>
    <cellStyle name="Millares 8 2 2 2 3 2" xfId="3934" xr:uid="{C4A4D7C1-BAE1-4EA9-8BA9-0DF8E467649F}"/>
    <cellStyle name="Millares 8 2 2 2 4" xfId="1561" xr:uid="{5B55F44F-37E9-4C38-96ED-9437C42AEEE2}"/>
    <cellStyle name="Millares 8 2 2 2 5" xfId="3143" xr:uid="{97D5D07D-0546-45C6-8A9E-C21B3D643209}"/>
    <cellStyle name="Millares 8 2 2 3" xfId="942" xr:uid="{3C9255B6-B779-49E2-9ED0-964A5A27FA26}"/>
    <cellStyle name="Millares 8 2 2 3 2" xfId="2525" xr:uid="{E32B6E7D-8AE9-4897-879F-FEC948203B5E}"/>
    <cellStyle name="Millares 8 2 2 3 2 2" xfId="4107" xr:uid="{F9003F9B-3EDA-47C7-A0C3-A00BD1763A60}"/>
    <cellStyle name="Millares 8 2 2 3 3" xfId="1734" xr:uid="{F3E1B07A-0F8A-4DC0-A623-45E0CE5630F0}"/>
    <cellStyle name="Millares 8 2 2 3 4" xfId="3316" xr:uid="{27F3A8C2-3D68-4608-8527-3B88A00FD8FE}"/>
    <cellStyle name="Millares 8 2 2 4" xfId="2131" xr:uid="{A54D6E48-AEAA-4082-A976-F25D3482E3A0}"/>
    <cellStyle name="Millares 8 2 2 4 2" xfId="3713" xr:uid="{59CD1D89-C406-42D8-BCDA-2DD6E9355730}"/>
    <cellStyle name="Millares 8 2 2 5" xfId="1340" xr:uid="{1AF88AEA-FAE0-4E68-A420-00C26C6A896B}"/>
    <cellStyle name="Millares 8 2 2 6" xfId="2922" xr:uid="{04324151-2F64-41AE-A818-F85B2CC0DD56}"/>
    <cellStyle name="Millares 8 2 3" xfId="612" xr:uid="{76E86AE0-20F0-441E-9C26-D2D843E0668E}"/>
    <cellStyle name="Millares 8 2 3 2" xfId="1019" xr:uid="{5CEFCBF7-0C51-4DE4-B13A-A00B04CD6082}"/>
    <cellStyle name="Millares 8 2 3 2 2" xfId="2602" xr:uid="{6E5C45AD-9EFB-4978-8362-57E70A0A74AF}"/>
    <cellStyle name="Millares 8 2 3 2 2 2" xfId="4184" xr:uid="{6AE10965-A638-4D34-AA67-B6A93527A8D3}"/>
    <cellStyle name="Millares 8 2 3 2 3" xfId="1811" xr:uid="{E3F4C609-6E1B-4B99-B04E-80B42A65DB7D}"/>
    <cellStyle name="Millares 8 2 3 2 4" xfId="3393" xr:uid="{6FE73861-3645-45D3-8023-306A62AD27A1}"/>
    <cellStyle name="Millares 8 2 3 3" xfId="2208" xr:uid="{FD0BC4CF-BA2D-4BDE-9501-86B09E9A23B6}"/>
    <cellStyle name="Millares 8 2 3 3 2" xfId="3790" xr:uid="{E30379E7-875A-4711-903A-C03A91560705}"/>
    <cellStyle name="Millares 8 2 3 4" xfId="1417" xr:uid="{A0A5E3BA-DFEE-45DC-A8A5-0F1B4BB808A9}"/>
    <cellStyle name="Millares 8 2 3 5" xfId="2999" xr:uid="{70770926-C785-46B4-BA72-3C83D22D948F}"/>
    <cellStyle name="Millares 8 2 4" xfId="687" xr:uid="{F1723EF8-82BE-4D14-9639-EA7E0828DF3C}"/>
    <cellStyle name="Millares 8 2 4 2" xfId="1087" xr:uid="{B0A666A8-3C46-473C-91DE-9494DAA08E8D}"/>
    <cellStyle name="Millares 8 2 4 2 2" xfId="2670" xr:uid="{60828312-54D8-4BA5-9213-05E68E82B925}"/>
    <cellStyle name="Millares 8 2 4 2 2 2" xfId="4252" xr:uid="{F198F98A-291F-480D-9A1D-AD7E198895B6}"/>
    <cellStyle name="Millares 8 2 4 2 3" xfId="1879" xr:uid="{5987441C-6263-42B2-A40B-AE9D86663117}"/>
    <cellStyle name="Millares 8 2 4 2 4" xfId="3461" xr:uid="{C7B71E22-A38D-4360-882A-C1F0A9B8A838}"/>
    <cellStyle name="Millares 8 2 4 3" xfId="2276" xr:uid="{45E44A01-E818-4C08-B8B0-6CAD8AC40758}"/>
    <cellStyle name="Millares 8 2 4 3 2" xfId="3858" xr:uid="{38F63A6A-B6BB-45C7-9FFC-616C03C41D49}"/>
    <cellStyle name="Millares 8 2 4 4" xfId="1485" xr:uid="{DFD02818-220B-402D-9D8A-D5CF9123A480}"/>
    <cellStyle name="Millares 8 2 4 5" xfId="3067" xr:uid="{14484EAE-3668-4E49-B64E-9409989FBEA3}"/>
    <cellStyle name="Millares 8 2 5" xfId="866" xr:uid="{EB093B00-A9E7-41EA-B65A-2A274A5580A2}"/>
    <cellStyle name="Millares 8 2 5 2" xfId="2449" xr:uid="{335DEDBE-25C1-406D-A2CA-EDCE36D37F9A}"/>
    <cellStyle name="Millares 8 2 5 2 2" xfId="4031" xr:uid="{E09A65E4-A964-4A1D-B48B-F69D9145D1E2}"/>
    <cellStyle name="Millares 8 2 5 3" xfId="1658" xr:uid="{A268D165-5291-403D-8484-FD1E0B4FAC2E}"/>
    <cellStyle name="Millares 8 2 5 4" xfId="3240" xr:uid="{3DDE7D14-1818-479C-BB0D-F3963DBEEC25}"/>
    <cellStyle name="Millares 8 2 6" xfId="2055" xr:uid="{27E198A7-0D91-4610-815C-D791343584B1}"/>
    <cellStyle name="Millares 8 2 6 2" xfId="3637" xr:uid="{FF41D4E6-F6F8-48F1-B2F1-467FDC420519}"/>
    <cellStyle name="Millares 8 2 7" xfId="1264" xr:uid="{83705841-ECF2-42B0-90BC-23FC39EFFB3B}"/>
    <cellStyle name="Millares 8 2 8" xfId="2846" xr:uid="{6F17895C-B3A7-4044-9672-FC5D539C4CA8}"/>
    <cellStyle name="Millares 8 3" xfId="494" xr:uid="{0DA7ADAD-0B6F-4477-8953-6DBEF8FFB08B}"/>
    <cellStyle name="Millares 8 3 2" xfId="722" xr:uid="{EF8D2429-8556-49DB-9AE6-103DDE58500B}"/>
    <cellStyle name="Millares 8 3 2 2" xfId="1122" xr:uid="{0DA3BEAC-4865-4B3A-825B-DA8958A77D49}"/>
    <cellStyle name="Millares 8 3 2 2 2" xfId="2705" xr:uid="{CA7B84EC-628A-4D08-B96A-615E7665FDA9}"/>
    <cellStyle name="Millares 8 3 2 2 2 2" xfId="4287" xr:uid="{7013159F-F2BE-4A52-92B2-F6AA081F896D}"/>
    <cellStyle name="Millares 8 3 2 2 3" xfId="1914" xr:uid="{66FFABF4-838D-4BF2-B670-260586EE185F}"/>
    <cellStyle name="Millares 8 3 2 2 4" xfId="3496" xr:uid="{ED3C0BC2-FD91-4A9A-8CBE-DFDE55B4215A}"/>
    <cellStyle name="Millares 8 3 2 3" xfId="2311" xr:uid="{FDB54A8A-018F-41F4-8308-FAB677350B9D}"/>
    <cellStyle name="Millares 8 3 2 3 2" xfId="3893" xr:uid="{8DF724E6-0979-4B12-A5CF-5D7B2B7C1C31}"/>
    <cellStyle name="Millares 8 3 2 4" xfId="1520" xr:uid="{DF115324-47B7-4520-9939-59FAF7032FC7}"/>
    <cellStyle name="Millares 8 3 2 5" xfId="3102" xr:uid="{057F403A-D321-4E39-AC34-084D4D6478D0}"/>
    <cellStyle name="Millares 8 3 3" xfId="901" xr:uid="{107FED00-461A-40CE-AB48-D9625FB0E379}"/>
    <cellStyle name="Millares 8 3 3 2" xfId="2484" xr:uid="{C174FC76-B339-44C0-8067-213FBCF0C575}"/>
    <cellStyle name="Millares 8 3 3 2 2" xfId="4066" xr:uid="{8C234A77-8C1D-4984-A35A-CD89E59F4366}"/>
    <cellStyle name="Millares 8 3 3 3" xfId="1693" xr:uid="{72729FD8-955D-464A-8CF7-4BC50DA36672}"/>
    <cellStyle name="Millares 8 3 3 4" xfId="3275" xr:uid="{8589AB0B-756F-46BF-AEA0-B85CE456EF0D}"/>
    <cellStyle name="Millares 8 3 4" xfId="2090" xr:uid="{9DB8F6CB-A20C-495F-9487-F75D49F7A001}"/>
    <cellStyle name="Millares 8 3 4 2" xfId="3672" xr:uid="{E35F14B2-8862-4C1E-9FFA-3B251E9E9C40}"/>
    <cellStyle name="Millares 8 3 5" xfId="1299" xr:uid="{4D7EE0F1-9445-4DBE-99F8-7FD0C31CCC4F}"/>
    <cellStyle name="Millares 8 3 6" xfId="2881" xr:uid="{5A4FDACB-19EA-46E8-94DD-BE46F9C272BD}"/>
    <cellStyle name="Millares 8 4" xfId="571" xr:uid="{348CB725-B14F-4097-927C-EC9CF8592ADE}"/>
    <cellStyle name="Millares 8 4 2" xfId="978" xr:uid="{75D6F694-8C02-483A-92AB-09778ACCC2D9}"/>
    <cellStyle name="Millares 8 4 2 2" xfId="2561" xr:uid="{0BCE79F7-23E1-4F58-B06E-9E196E27B27D}"/>
    <cellStyle name="Millares 8 4 2 2 2" xfId="4143" xr:uid="{322775C3-4D72-4C24-AD14-675FA30D042D}"/>
    <cellStyle name="Millares 8 4 2 3" xfId="1770" xr:uid="{1549A72F-15DF-40F0-A721-5A97F227433F}"/>
    <cellStyle name="Millares 8 4 2 4" xfId="3352" xr:uid="{25E8F854-5A43-4C55-90E1-4A973365C902}"/>
    <cellStyle name="Millares 8 4 3" xfId="2167" xr:uid="{67D774B2-2BF0-4B74-95A4-DC3233D1C6CD}"/>
    <cellStyle name="Millares 8 4 3 2" xfId="3749" xr:uid="{A94D4083-3ACE-4AE7-953B-339D6C884BFA}"/>
    <cellStyle name="Millares 8 4 4" xfId="1376" xr:uid="{6CEC4FAA-0B1E-4A08-8627-7101DFDF4EC4}"/>
    <cellStyle name="Millares 8 4 5" xfId="2958" xr:uid="{B325AC30-80E7-4AA0-B9FA-BF4634A869A0}"/>
    <cellStyle name="Millares 8 5" xfId="646" xr:uid="{B2834FC4-5412-4EE5-92DC-3F0D73878AF2}"/>
    <cellStyle name="Millares 8 5 2" xfId="1046" xr:uid="{EE053ED8-4007-4467-AE7E-67119EAD5731}"/>
    <cellStyle name="Millares 8 5 2 2" xfId="2629" xr:uid="{C24E51F4-44A8-4C79-B9F3-E1E14CECE570}"/>
    <cellStyle name="Millares 8 5 2 2 2" xfId="4211" xr:uid="{572D43CE-02B5-4C2E-8452-A3217E6D3A22}"/>
    <cellStyle name="Millares 8 5 2 3" xfId="1838" xr:uid="{13CCA8E3-61D1-4AEB-A729-0F4A91DEF5B5}"/>
    <cellStyle name="Millares 8 5 2 4" xfId="3420" xr:uid="{C4D9DCE9-AA15-415D-BFE3-3254631D9D8E}"/>
    <cellStyle name="Millares 8 5 3" xfId="2235" xr:uid="{5F44EAE4-5C31-4C5A-93CD-7A10F57CFC2B}"/>
    <cellStyle name="Millares 8 5 3 2" xfId="3817" xr:uid="{06009749-C1D8-41A8-9749-867A3F0C1E34}"/>
    <cellStyle name="Millares 8 5 4" xfId="1444" xr:uid="{6F6C86B6-BAD1-4E01-9496-65F6C931E06A}"/>
    <cellStyle name="Millares 8 5 5" xfId="3026" xr:uid="{C8BDDE17-6C74-43D3-AD78-40B57CB8DF05}"/>
    <cellStyle name="Millares 8 6" xfId="798" xr:uid="{23B12D7E-5352-4247-8AAE-185D404E1ACD}"/>
    <cellStyle name="Millares 8 6 2" xfId="1198" xr:uid="{77B9D003-9BFA-4F29-8EEE-67A884DFCA35}"/>
    <cellStyle name="Millares 8 6 2 2" xfId="2781" xr:uid="{4268F350-2073-44AE-BE91-859A744EFDA4}"/>
    <cellStyle name="Millares 8 6 2 2 2" xfId="4363" xr:uid="{9D451B8D-4EB3-4876-BB45-1ADC1759B1C4}"/>
    <cellStyle name="Millares 8 6 2 3" xfId="1990" xr:uid="{6341F283-A361-4370-8B26-D71BA9E39A70}"/>
    <cellStyle name="Millares 8 6 2 4" xfId="3572" xr:uid="{485AF182-7E2B-43CB-A889-BB78923AAE13}"/>
    <cellStyle name="Millares 8 6 3" xfId="2387" xr:uid="{F8B4518B-0C7D-4BD6-8500-85C0819E6512}"/>
    <cellStyle name="Millares 8 6 3 2" xfId="3969" xr:uid="{57562A9F-296A-46C5-B28C-D32ADBB659DE}"/>
    <cellStyle name="Millares 8 6 4" xfId="1596" xr:uid="{3C4C7270-1BF6-4AC5-B138-AE2605D3E515}"/>
    <cellStyle name="Millares 8 6 5" xfId="3178" xr:uid="{70E302CA-BCFC-4C9F-A8C6-16D9E6DD0FA1}"/>
    <cellStyle name="Millares 8 7" xfId="825" xr:uid="{102A1F63-C978-4014-94DB-09AB4424A427}"/>
    <cellStyle name="Millares 8 7 2" xfId="2408" xr:uid="{AA8D9FE9-08F1-4E20-8B1B-C3D5DED2D41A}"/>
    <cellStyle name="Millares 8 7 2 2" xfId="3990" xr:uid="{27D0E8C7-69C8-493D-8F46-E5EBBD576FF6}"/>
    <cellStyle name="Millares 8 7 3" xfId="1617" xr:uid="{37696320-2636-4D7E-BF20-97B8F0EA350C}"/>
    <cellStyle name="Millares 8 7 4" xfId="3199" xr:uid="{9C3E706F-74B7-41D7-BE79-7B16AC8BE4FE}"/>
    <cellStyle name="Millares 8 8" xfId="2014" xr:uid="{55C49577-7A8D-47E5-8D55-455AD6D497B6}"/>
    <cellStyle name="Millares 8 8 2" xfId="3596" xr:uid="{1F9909EF-83F4-4197-884F-EDA60876D49B}"/>
    <cellStyle name="Millares 8 9" xfId="1223" xr:uid="{0C0D574C-96B2-47AA-83D9-387551B57D1C}"/>
    <cellStyle name="Millares 9" xfId="348" xr:uid="{316A66B0-EDA9-42BA-B493-8EB479960CA9}"/>
    <cellStyle name="Millares 9 10" xfId="2808" xr:uid="{144CC099-9EA5-4904-BD56-FBFEB62FA1B7}"/>
    <cellStyle name="Millares 9 2" xfId="426" xr:uid="{ECA9E58F-5AD3-4B5E-979C-118479491197}"/>
    <cellStyle name="Millares 9 2 2" xfId="538" xr:uid="{1284F842-C5AA-4117-8A80-11D0CB6793FE}"/>
    <cellStyle name="Millares 9 2 2 2" xfId="766" xr:uid="{58CE8D85-9074-4432-AA0D-458389B315FC}"/>
    <cellStyle name="Millares 9 2 2 2 2" xfId="1166" xr:uid="{6B34FC83-C129-40DF-B4F3-A3D66AC58A06}"/>
    <cellStyle name="Millares 9 2 2 2 2 2" xfId="2749" xr:uid="{34E538E8-4B16-4B66-81F0-FBAC25AF3024}"/>
    <cellStyle name="Millares 9 2 2 2 2 2 2" xfId="4331" xr:uid="{1B467C84-8CAC-4C7B-83C9-B4BF3535C950}"/>
    <cellStyle name="Millares 9 2 2 2 2 3" xfId="1958" xr:uid="{0A2F31AD-28C7-4012-B6A3-271807044D35}"/>
    <cellStyle name="Millares 9 2 2 2 2 4" xfId="3540" xr:uid="{73486D6E-9BE2-4DAB-8897-346C2065975E}"/>
    <cellStyle name="Millares 9 2 2 2 3" xfId="2355" xr:uid="{EC32B85E-D159-4894-8A33-A85A205D73D0}"/>
    <cellStyle name="Millares 9 2 2 2 3 2" xfId="3937" xr:uid="{CDF94413-15F6-476E-B0F5-D86651C5CD74}"/>
    <cellStyle name="Millares 9 2 2 2 4" xfId="1564" xr:uid="{6F4008F0-7F23-47E7-AE99-9EB0DD87E235}"/>
    <cellStyle name="Millares 9 2 2 2 5" xfId="3146" xr:uid="{785060E8-735E-43B5-AE5D-C0A54ADE25C1}"/>
    <cellStyle name="Millares 9 2 2 3" xfId="945" xr:uid="{8C9F4B84-EECA-4DE6-BB09-091C33CB189D}"/>
    <cellStyle name="Millares 9 2 2 3 2" xfId="2528" xr:uid="{C42B0F0E-C2C7-4091-B2D1-886E40C1EB48}"/>
    <cellStyle name="Millares 9 2 2 3 2 2" xfId="4110" xr:uid="{DE7E42B0-7101-40B7-9310-A21D0992CA26}"/>
    <cellStyle name="Millares 9 2 2 3 3" xfId="1737" xr:uid="{39715990-E110-4F67-B72C-50E925ECBEE3}"/>
    <cellStyle name="Millares 9 2 2 3 4" xfId="3319" xr:uid="{BA257823-9E9E-412E-B3FF-CC353A44CB13}"/>
    <cellStyle name="Millares 9 2 2 4" xfId="2134" xr:uid="{91582D00-E783-453C-994A-E83829A9CDF1}"/>
    <cellStyle name="Millares 9 2 2 4 2" xfId="3716" xr:uid="{C35D9D7F-28B3-4B9F-B964-A3A46598F7D3}"/>
    <cellStyle name="Millares 9 2 2 5" xfId="1343" xr:uid="{4D266685-497C-4561-94AF-7B56CA777A4B}"/>
    <cellStyle name="Millares 9 2 2 6" xfId="2925" xr:uid="{16CA32A7-13FC-4772-977C-B2A0D013AA00}"/>
    <cellStyle name="Millares 9 2 3" xfId="615" xr:uid="{56659C3D-EB04-45D7-83E9-B9996A7A0E47}"/>
    <cellStyle name="Millares 9 2 3 2" xfId="1022" xr:uid="{B38F4691-0D06-4CF4-8DA8-D6A812D99006}"/>
    <cellStyle name="Millares 9 2 3 2 2" xfId="2605" xr:uid="{D2958C2B-1D35-434B-BDC7-6899F359DD0A}"/>
    <cellStyle name="Millares 9 2 3 2 2 2" xfId="4187" xr:uid="{B55C59C9-BA3F-47E3-ACAF-FDD497FDD008}"/>
    <cellStyle name="Millares 9 2 3 2 3" xfId="1814" xr:uid="{BC428587-DC5F-49EA-972A-40E5EAAB8053}"/>
    <cellStyle name="Millares 9 2 3 2 4" xfId="3396" xr:uid="{AE6254F8-717D-4D96-AAD9-4C85DCB310A0}"/>
    <cellStyle name="Millares 9 2 3 3" xfId="2211" xr:uid="{98829E37-337E-449A-895B-747476728E2C}"/>
    <cellStyle name="Millares 9 2 3 3 2" xfId="3793" xr:uid="{E5705A8A-5399-4E4D-9A8A-03E323D75B5F}"/>
    <cellStyle name="Millares 9 2 3 4" xfId="1420" xr:uid="{5FD8F07C-AB16-46F9-9C42-8E7C78EB600E}"/>
    <cellStyle name="Millares 9 2 3 5" xfId="3002" xr:uid="{4517A397-CD55-4DB7-9425-1CFEF6C7345D}"/>
    <cellStyle name="Millares 9 2 4" xfId="690" xr:uid="{617B3712-8E96-45F7-BE74-6335E27361E1}"/>
    <cellStyle name="Millares 9 2 4 2" xfId="1090" xr:uid="{5062204E-6E3C-49F0-BA7C-1FF34551474A}"/>
    <cellStyle name="Millares 9 2 4 2 2" xfId="2673" xr:uid="{3F715564-967A-4D99-A916-604AEDC701D3}"/>
    <cellStyle name="Millares 9 2 4 2 2 2" xfId="4255" xr:uid="{F9D6B3DA-715E-40EC-9075-882AA27B3A36}"/>
    <cellStyle name="Millares 9 2 4 2 3" xfId="1882" xr:uid="{EBF63B7E-EEA3-467E-ACBB-E56712D4445A}"/>
    <cellStyle name="Millares 9 2 4 2 4" xfId="3464" xr:uid="{710C2DA7-1794-4C4A-9721-B169CF864BAD}"/>
    <cellStyle name="Millares 9 2 4 3" xfId="2279" xr:uid="{43D417AD-3067-4C10-894B-EF7B5D7BAEA7}"/>
    <cellStyle name="Millares 9 2 4 3 2" xfId="3861" xr:uid="{F238E7CD-5EA9-4A82-8ADA-973837B44403}"/>
    <cellStyle name="Millares 9 2 4 4" xfId="1488" xr:uid="{B5474412-CE7C-4927-AB81-3AAC8AC6E5AC}"/>
    <cellStyle name="Millares 9 2 4 5" xfId="3070" xr:uid="{4C17F4C2-5C4A-4719-8824-BA41C053B7D1}"/>
    <cellStyle name="Millares 9 2 5" xfId="869" xr:uid="{321770AF-188A-4047-A7C6-802D2E3E9F09}"/>
    <cellStyle name="Millares 9 2 5 2" xfId="2452" xr:uid="{2804298A-2F66-4D1E-828A-770FD5F3338D}"/>
    <cellStyle name="Millares 9 2 5 2 2" xfId="4034" xr:uid="{42E570B3-C2A5-455D-AFCC-2523918E18B5}"/>
    <cellStyle name="Millares 9 2 5 3" xfId="1661" xr:uid="{D3FB1CA1-BF11-405C-868D-640588DCC3AE}"/>
    <cellStyle name="Millares 9 2 5 4" xfId="3243" xr:uid="{47F3AC19-92AA-4159-AF8A-9E2B0C0F57F0}"/>
    <cellStyle name="Millares 9 2 6" xfId="2058" xr:uid="{33997A68-D87A-436F-99BE-3FBF7F8BC7B7}"/>
    <cellStyle name="Millares 9 2 6 2" xfId="3640" xr:uid="{974E6D94-C264-4039-8FFB-D753E4511AC8}"/>
    <cellStyle name="Millares 9 2 7" xfId="1267" xr:uid="{6BCBACD2-D7D8-4C5A-B8D1-750871C83EBA}"/>
    <cellStyle name="Millares 9 2 8" xfId="2849" xr:uid="{FFEA284D-0031-4EB6-B2ED-D9D8984E420D}"/>
    <cellStyle name="Millares 9 3" xfId="497" xr:uid="{2AD2073A-FDB9-4C89-A3CE-2B1D321F49B9}"/>
    <cellStyle name="Millares 9 3 2" xfId="725" xr:uid="{EDDE8941-1859-46F2-AB7E-731BD1EBB0C9}"/>
    <cellStyle name="Millares 9 3 2 2" xfId="1125" xr:uid="{8CED023F-3FCA-413F-A600-B405FE3AB81F}"/>
    <cellStyle name="Millares 9 3 2 2 2" xfId="2708" xr:uid="{FDAE8016-545F-4A86-B97B-F52BF8B116F8}"/>
    <cellStyle name="Millares 9 3 2 2 2 2" xfId="4290" xr:uid="{851C0BDF-E05E-45C2-B90D-4C8AC3A9D343}"/>
    <cellStyle name="Millares 9 3 2 2 3" xfId="1917" xr:uid="{D07CD862-173F-47B3-83FB-E87531084E75}"/>
    <cellStyle name="Millares 9 3 2 2 4" xfId="3499" xr:uid="{4E44C241-4807-47FB-B08D-3E1051F50182}"/>
    <cellStyle name="Millares 9 3 2 3" xfId="2314" xr:uid="{EDB76581-FB0E-4E6D-93B7-632521D4E3C8}"/>
    <cellStyle name="Millares 9 3 2 3 2" xfId="3896" xr:uid="{3FD3E0A2-2094-41EF-90E1-BE61E7370EDE}"/>
    <cellStyle name="Millares 9 3 2 4" xfId="1523" xr:uid="{7A6D2682-7C48-44E9-B37A-542B0244B396}"/>
    <cellStyle name="Millares 9 3 2 5" xfId="3105" xr:uid="{A3474A5E-1CD3-422C-B454-9C980AC886DB}"/>
    <cellStyle name="Millares 9 3 3" xfId="904" xr:uid="{167C4A77-EA16-4114-AA3C-FCA289952E08}"/>
    <cellStyle name="Millares 9 3 3 2" xfId="2487" xr:uid="{5F3281A6-1077-49A9-8698-5C97E287F894}"/>
    <cellStyle name="Millares 9 3 3 2 2" xfId="4069" xr:uid="{DA771F47-8388-47CF-AEF0-FA8D091C563C}"/>
    <cellStyle name="Millares 9 3 3 3" xfId="1696" xr:uid="{7269C20D-B44A-4EA2-88B5-CD52BE151E31}"/>
    <cellStyle name="Millares 9 3 3 4" xfId="3278" xr:uid="{B99843C0-79CA-4637-ACC1-D6F6D56795E1}"/>
    <cellStyle name="Millares 9 3 4" xfId="2093" xr:uid="{D3EDEC9A-9192-4963-B344-5AA81D8C2765}"/>
    <cellStyle name="Millares 9 3 4 2" xfId="3675" xr:uid="{6B04D547-E928-4812-AE13-497ACC53B029}"/>
    <cellStyle name="Millares 9 3 5" xfId="1302" xr:uid="{F7732011-F9AD-4989-9A62-419BE9763A0E}"/>
    <cellStyle name="Millares 9 3 6" xfId="2884" xr:uid="{D6482C94-846D-4F43-9EDB-675023CCFB35}"/>
    <cellStyle name="Millares 9 4" xfId="574" xr:uid="{5D719A47-F470-4A68-97A3-70DD7FBE986F}"/>
    <cellStyle name="Millares 9 4 2" xfId="981" xr:uid="{EE128662-5A65-4B18-8EBC-89E4EB022761}"/>
    <cellStyle name="Millares 9 4 2 2" xfId="2564" xr:uid="{1B902F90-B56E-4A19-B43D-890487728576}"/>
    <cellStyle name="Millares 9 4 2 2 2" xfId="4146" xr:uid="{FB707EA7-5F7B-424C-87BD-AEDF656BF2F8}"/>
    <cellStyle name="Millares 9 4 2 3" xfId="1773" xr:uid="{FE438863-F3FD-46D8-B84C-DE5794049650}"/>
    <cellStyle name="Millares 9 4 2 4" xfId="3355" xr:uid="{35658F63-DC2B-4E91-9168-CDFBC79CC663}"/>
    <cellStyle name="Millares 9 4 3" xfId="2170" xr:uid="{95BF6EE3-7AC9-46DD-A0CE-CB74FDB191F8}"/>
    <cellStyle name="Millares 9 4 3 2" xfId="3752" xr:uid="{2CBAF9A3-FD16-409A-A662-B0981A750431}"/>
    <cellStyle name="Millares 9 4 4" xfId="1379" xr:uid="{3BDCAC2F-4182-4E2E-A754-F57CDC045929}"/>
    <cellStyle name="Millares 9 4 5" xfId="2961" xr:uid="{EB649028-4BE0-49B1-948E-865F90A801BD}"/>
    <cellStyle name="Millares 9 5" xfId="649" xr:uid="{4ADF483E-9FC6-453B-8731-6EC3FD6D9065}"/>
    <cellStyle name="Millares 9 5 2" xfId="1049" xr:uid="{7B30779C-A7BD-4B6F-9363-B6BC7E511E80}"/>
    <cellStyle name="Millares 9 5 2 2" xfId="2632" xr:uid="{3DB84253-463C-4DF5-A6C8-0FB769B8D60F}"/>
    <cellStyle name="Millares 9 5 2 2 2" xfId="4214" xr:uid="{60E07936-705E-4F90-B5DA-CA536AA9E598}"/>
    <cellStyle name="Millares 9 5 2 3" xfId="1841" xr:uid="{A82F10DB-4AE9-4616-94C7-085AC7ADBBC8}"/>
    <cellStyle name="Millares 9 5 2 4" xfId="3423" xr:uid="{413EC137-3641-42C5-9138-96310E62ED97}"/>
    <cellStyle name="Millares 9 5 3" xfId="2238" xr:uid="{F88CB005-7C4A-4CEE-9020-42B926EDBA42}"/>
    <cellStyle name="Millares 9 5 3 2" xfId="3820" xr:uid="{BA240A88-E2CA-4668-AD1C-949851AE4128}"/>
    <cellStyle name="Millares 9 5 4" xfId="1447" xr:uid="{11C7406F-AB1A-4185-BEAC-7446E22A6495}"/>
    <cellStyle name="Millares 9 5 5" xfId="3029" xr:uid="{3C1C8D99-E51C-4487-8F22-7C185B7B0E92}"/>
    <cellStyle name="Millares 9 6" xfId="801" xr:uid="{BBD4D1B7-6B99-497B-A797-A794D06D8D95}"/>
    <cellStyle name="Millares 9 6 2" xfId="1201" xr:uid="{6BF7ABBB-D463-47EA-9533-128F4AB380F9}"/>
    <cellStyle name="Millares 9 6 2 2" xfId="2784" xr:uid="{E39D9AB5-8F72-43B4-99B5-446E77231EA5}"/>
    <cellStyle name="Millares 9 6 2 2 2" xfId="4366" xr:uid="{8914728E-7D16-4B7C-9980-D8C00556D6F9}"/>
    <cellStyle name="Millares 9 6 2 3" xfId="1993" xr:uid="{8B49A839-C528-40D8-8916-537E25751213}"/>
    <cellStyle name="Millares 9 6 2 4" xfId="3575" xr:uid="{EE126361-AFA6-4674-9101-BFB1152FB96A}"/>
    <cellStyle name="Millares 9 6 3" xfId="2390" xr:uid="{B0D04CE2-2B9B-4CCC-8923-56A524BDD022}"/>
    <cellStyle name="Millares 9 6 3 2" xfId="3972" xr:uid="{7136E8C3-C6F2-4865-BAFA-283A8E2ED4B3}"/>
    <cellStyle name="Millares 9 6 4" xfId="1599" xr:uid="{CE30FD84-B991-4D8C-B316-6DDCAD8916C2}"/>
    <cellStyle name="Millares 9 6 5" xfId="3181" xr:uid="{9DD7DC36-C37A-480E-BE80-4F51FCDB5175}"/>
    <cellStyle name="Millares 9 7" xfId="828" xr:uid="{E09C2C8A-2D2F-45A5-BFE5-143A7B3B20F6}"/>
    <cellStyle name="Millares 9 7 2" xfId="2411" xr:uid="{31CB0A1A-98D0-472A-8FD1-DB337C4B7F10}"/>
    <cellStyle name="Millares 9 7 2 2" xfId="3993" xr:uid="{716A59A2-DD89-42DF-A472-55F34FEF5CF3}"/>
    <cellStyle name="Millares 9 7 3" xfId="1620" xr:uid="{917A74DA-E3AF-4D0F-A609-85501B4926BF}"/>
    <cellStyle name="Millares 9 7 4" xfId="3202" xr:uid="{CFF5CB17-76F1-4C83-884D-E36B4E233DF9}"/>
    <cellStyle name="Millares 9 8" xfId="2017" xr:uid="{67F012A0-B7B2-47D5-9CA3-66B23F474967}"/>
    <cellStyle name="Millares 9 8 2" xfId="3599" xr:uid="{B188550D-B8BA-44CE-B729-0FD38E6DB131}"/>
    <cellStyle name="Millares 9 9" xfId="1226" xr:uid="{1B23E0DC-CFA3-4DE5-8E44-50E72237F655}"/>
    <cellStyle name="Moneda0" xfId="250" xr:uid="{BBDD6B08-A600-4A81-851E-DD4424910256}"/>
    <cellStyle name="Monetario" xfId="251" xr:uid="{9C050514-EDD7-4080-ABAC-2F2E7B1021D4}"/>
    <cellStyle name="Monetario0" xfId="252" xr:uid="{8EE5D291-2B12-4A08-B96F-39046BECD5AC}"/>
    <cellStyle name="Neutral 2" xfId="629" xr:uid="{5B29F4F8-EE1A-47A8-9614-9BA76EBA9B5A}"/>
    <cellStyle name="Neutral 3" xfId="58" xr:uid="{5EB4163D-91A8-42CA-A2AB-5DE1FDA632D7}"/>
    <cellStyle name="No-definido" xfId="253" xr:uid="{14CE7A6A-7297-49E5-9B50-C61C934CDEC7}"/>
    <cellStyle name="Normal" xfId="0" builtinId="0"/>
    <cellStyle name="Normal - Formatvorlage1" xfId="254" xr:uid="{8A85AAEC-E294-4956-B91A-9C95116B36B7}"/>
    <cellStyle name="Normal - Style1" xfId="255" xr:uid="{E272BC90-75AA-4FF7-B845-9402DFF4D25B}"/>
    <cellStyle name="Normal 10" xfId="328" xr:uid="{877AF772-9655-471A-B165-589EF7238381}"/>
    <cellStyle name="Normal 11" xfId="1210" xr:uid="{92810366-D858-4BCE-B757-DCCA78F8EAFB}"/>
    <cellStyle name="Normal 12" xfId="1212" xr:uid="{198ADA91-352A-4BE3-A768-41175BBAAF39}"/>
    <cellStyle name="Normal 2" xfId="14" xr:uid="{7BB9EF13-2D0B-4F5D-AF8C-EAD5579ED2D5}"/>
    <cellStyle name="Normal 2 2" xfId="15" xr:uid="{7ED2AA86-1A77-4072-B12F-B706E98E16B1}"/>
    <cellStyle name="Normal 2 2 2" xfId="21" xr:uid="{12666545-8F8D-45A2-8F45-A58337AFC9F1}"/>
    <cellStyle name="Normal 2 3" xfId="256" xr:uid="{CD1E3895-C151-44C8-8CF5-7889CC1B87D1}"/>
    <cellStyle name="Normal 2_12000 ESTADOS FINANCIEROS IFRS DICIEMBRE 2008" xfId="257" xr:uid="{DFB32D46-2ABB-4299-A6BC-98F8ACB7703E}"/>
    <cellStyle name="Normal 3" xfId="3" xr:uid="{00000000-0005-0000-0000-000006000000}"/>
    <cellStyle name="Normal 3 2" xfId="17" xr:uid="{CB162DA9-D97C-4068-AD6A-59E81AB734A0}"/>
    <cellStyle name="Normal 3 3" xfId="16" xr:uid="{8191A737-ECA7-4746-A313-71CC361E0830}"/>
    <cellStyle name="Normal 3 4" xfId="331" xr:uid="{5016D69A-2D6C-4212-A3BF-D62264BE60B6}"/>
    <cellStyle name="Normal 3 5" xfId="66" xr:uid="{64B4D7F3-3AEA-40B9-8E5C-B1CA2840638C}"/>
    <cellStyle name="Normal 4" xfId="7" xr:uid="{00000000-0005-0000-0000-000007000000}"/>
    <cellStyle name="Normal 4 2" xfId="259" xr:uid="{ED297D77-3ED6-4818-BD84-360CE356B140}"/>
    <cellStyle name="Normal 4 3" xfId="258" xr:uid="{13912A2C-AA6C-43B4-B9FD-3ABABFCF96FD}"/>
    <cellStyle name="Normal 4_IFRS MARZ-JUN-DIC DTT" xfId="260" xr:uid="{A2AAB6FB-3CD2-49AB-9512-C1EBD72E911E}"/>
    <cellStyle name="Normal 5" xfId="10" xr:uid="{8CB4D6BC-2280-4CAA-9E1B-3A1643DFD902}"/>
    <cellStyle name="Normal 6" xfId="325" xr:uid="{0D902FC9-27AB-4DDD-8310-DDDF8A26FD53}"/>
    <cellStyle name="Normal 7" xfId="23" xr:uid="{AD298A14-4044-4B5E-AEF1-EABE3F95FDD4}"/>
    <cellStyle name="Normal 7 2" xfId="261" xr:uid="{9325304E-D72B-4F40-9920-34928535A7D0}"/>
    <cellStyle name="Normal 8" xfId="326" xr:uid="{08585EC9-49FF-442E-8F72-23C065E201B5}"/>
    <cellStyle name="Normal 85" xfId="468" xr:uid="{FE1E3032-8E3C-4F96-8DEB-577A14CFDB83}"/>
    <cellStyle name="Normal 9" xfId="327" xr:uid="{4C6AE481-285E-41DA-893B-ECE9058175DF}"/>
    <cellStyle name="Notas" xfId="35" builtinId="10" customBuiltin="1"/>
    <cellStyle name="Note 2" xfId="262" xr:uid="{D4C03680-BE34-4855-A939-80EC80AB75EF}"/>
    <cellStyle name="Note 2 2" xfId="815" xr:uid="{1346F0BD-189F-4A27-B8F1-3087E3575EB7}"/>
    <cellStyle name="Output 2" xfId="263" xr:uid="{CC740593-7D03-451F-A2AC-A08A1B3CCD79}"/>
    <cellStyle name="Output 2 2" xfId="816" xr:uid="{776EEF09-7B4B-403A-AAB0-6C609A5DC75D}"/>
    <cellStyle name="Output_IFRS MARZ-JUN-DIC DTT" xfId="264" xr:uid="{2B0A82D7-4FAF-4AC6-8F53-C4014F44432F}"/>
    <cellStyle name="Percent %" xfId="265" xr:uid="{453CB809-30DD-45EB-B37B-144733CCF161}"/>
    <cellStyle name="Percent % Long Underline" xfId="266" xr:uid="{08131E9D-3DE9-4B2B-A461-0AEBFDC30C14}"/>
    <cellStyle name="Percent %_Caso 10" xfId="267" xr:uid="{D604814E-8448-4D81-B262-BA634FEFEEC2}"/>
    <cellStyle name="Percent (0)" xfId="268" xr:uid="{D091F757-8A2E-4F0C-BF8F-5725AD751DB7}"/>
    <cellStyle name="Percent [2]" xfId="269" xr:uid="{142C632C-A919-4013-AA4F-6164CD738FA5}"/>
    <cellStyle name="Percent 0.0%" xfId="270" xr:uid="{B78260FD-6CA9-4985-B321-66C42A3A5FD6}"/>
    <cellStyle name="Percent 0.0% Long Underline" xfId="271" xr:uid="{597EC98F-8F7A-48B8-AB49-5B6967A4584E}"/>
    <cellStyle name="Percent 0.0%_Caso 10" xfId="272" xr:uid="{B6D6D8CC-AB53-4446-9C75-FD91FB16D5A9}"/>
    <cellStyle name="Percent 0.00%" xfId="273" xr:uid="{39F92BBE-941E-4648-AC73-CACA0415E5EC}"/>
    <cellStyle name="Percent 0.00% Long Underline" xfId="274" xr:uid="{9D9E36B1-B7A3-42A6-8A7C-8D171DDD933E}"/>
    <cellStyle name="Percent 0.00%_Caso 10" xfId="275" xr:uid="{0D8D6B3C-68C9-4AAB-9D2C-8E56B255FB13}"/>
    <cellStyle name="Percent 0.000%" xfId="276" xr:uid="{9D1485DE-EEAB-4D3A-837B-B3CE7783948F}"/>
    <cellStyle name="Percent 0.000% Long Underline" xfId="277" xr:uid="{D4BFCE79-C510-480E-827D-D0F51BFC9389}"/>
    <cellStyle name="Percent 0.000%_Caso 10" xfId="278" xr:uid="{54EF2BC2-29E4-40CC-9C1A-39674F951C53}"/>
    <cellStyle name="Percent 2" xfId="279" xr:uid="{1D7BA667-2970-4108-AE48-F80B02BEBC05}"/>
    <cellStyle name="Percent 2 2" xfId="280" xr:uid="{523FEE41-2F33-4BAE-A0B3-EECC97D66C45}"/>
    <cellStyle name="Percent 2 2 2" xfId="281" xr:uid="{64BF6EFC-D289-4DAF-8C64-6E4F84792E14}"/>
    <cellStyle name="Percent 3" xfId="282" xr:uid="{5E1DF634-504E-4CB6-85A7-69696BD4AA97}"/>
    <cellStyle name="Percent 4" xfId="283" xr:uid="{F7DC0CD2-2F94-4144-9A9E-9AE72060B73C}"/>
    <cellStyle name="Porcen - Estilo2" xfId="284" xr:uid="{D3DAFE63-3938-4DC1-9EBE-C2531E151360}"/>
    <cellStyle name="Porcentaje" xfId="2" builtinId="5"/>
    <cellStyle name="Porcentaje 2" xfId="18" xr:uid="{364D6120-1485-4887-BD50-B12D1F56831F}"/>
    <cellStyle name="Porcentaje 2 2" xfId="469" xr:uid="{A54DC83E-4EB6-48AA-A942-7FC096824D68}"/>
    <cellStyle name="Porcentaje 3" xfId="285" xr:uid="{2CCAAFBA-E91A-49C7-BA96-A026BDB070A6}"/>
    <cellStyle name="Porcentual 2" xfId="19" xr:uid="{D571196B-CDCB-4309-8F2A-30F1AB416243}"/>
    <cellStyle name="Porcentual 3" xfId="20" xr:uid="{DE181A79-5013-4017-A6CB-0AEEEC746788}"/>
    <cellStyle name="Protected" xfId="286" xr:uid="{319A3AA6-B507-4EC9-A705-C0B7A0127467}"/>
    <cellStyle name="PSChar" xfId="287" xr:uid="{ADD33F47-1B8C-4C2A-9FDC-651390A36F4D}"/>
    <cellStyle name="PSDate" xfId="288" xr:uid="{F2D7149D-48B5-4F03-B471-307B68071BFD}"/>
    <cellStyle name="PSDec" xfId="289" xr:uid="{CB012C08-14CD-40AE-AA80-B2FE9E4B1090}"/>
    <cellStyle name="PSHeading" xfId="290" xr:uid="{F246FCE5-B431-4E61-BD79-34348F13524B}"/>
    <cellStyle name="PSInt" xfId="291" xr:uid="{68D8155A-3C85-4950-B75F-9CB92704249D}"/>
    <cellStyle name="PSSpacer" xfId="292" xr:uid="{E3945A5B-BC9F-45F1-84A8-91983CC6E6DC}"/>
    <cellStyle name="Punto" xfId="293" xr:uid="{7BF54C71-0AE3-46D2-897E-41A93A308320}"/>
    <cellStyle name="Punto0" xfId="294" xr:uid="{F7C79BA8-4FE7-4336-9FAB-3A3050872BFD}"/>
    <cellStyle name="Punto0 - Estilo1" xfId="295" xr:uid="{25075268-3941-4B6E-9895-3E3754F45CF5}"/>
    <cellStyle name="Punto0 - Estilo3" xfId="296" xr:uid="{68DBC3CA-6559-4EBA-A167-862A71CFEAAE}"/>
    <cellStyle name="Punto0 - Estilo4" xfId="297" xr:uid="{76A1AB03-134C-42EB-96B8-289EC40A720E}"/>
    <cellStyle name="Punto0_11 OR AT 2006 Payback S A al 31 12 05 (Definitivo) al 24.01.06" xfId="298" xr:uid="{30AAD50D-C821-4EF1-8797-2C8C451A6ED4}"/>
    <cellStyle name="Punto1 - Estilo1" xfId="299" xr:uid="{F084BF72-07E6-4CA7-850D-C643F3450F1D}"/>
    <cellStyle name="Salida" xfId="30" builtinId="21" customBuiltin="1"/>
    <cellStyle name="Standard_FORMA-1" xfId="300" xr:uid="{483462D1-5ED3-4409-A362-C7EA310971F8}"/>
    <cellStyle name="Style 1" xfId="301" xr:uid="{725D4481-6228-44A0-9365-E094FB399556}"/>
    <cellStyle name="Style 2" xfId="302" xr:uid="{8591B9DE-4B3D-43CD-905B-CFA241BF5496}"/>
    <cellStyle name="subgroup" xfId="303" xr:uid="{A0253272-31A6-4AA1-9AC4-3717613EA01E}"/>
    <cellStyle name="SubHead" xfId="304" xr:uid="{B7C63CD7-7F4A-42A9-9BEE-D3BE447A944A}"/>
    <cellStyle name="Subtotal" xfId="305" xr:uid="{2A6CAC6B-FF37-444D-A4D7-FB32E458719B}"/>
    <cellStyle name="Texto de advertencia" xfId="34" builtinId="11" customBuiltin="1"/>
    <cellStyle name="Texto explicativo" xfId="36" builtinId="53" customBuiltin="1"/>
    <cellStyle name="Tickmark" xfId="306" xr:uid="{CB00B077-A576-4CEE-BD98-D0161373295E}"/>
    <cellStyle name="Title 2" xfId="307" xr:uid="{6F0EF468-B74A-4F19-B4BE-699E94E8FA0C}"/>
    <cellStyle name="Title_IFRS MARZ-JUN-DIC DTT" xfId="308" xr:uid="{8AEE4E13-BE3F-4C4B-83FE-E436D3817E8C}"/>
    <cellStyle name="Título 2" xfId="24" builtinId="17" customBuiltin="1"/>
    <cellStyle name="Título 3" xfId="25" builtinId="18" customBuiltin="1"/>
    <cellStyle name="Título 4" xfId="382" xr:uid="{B2FADE98-CC96-45A5-8D55-922CF659125A}"/>
    <cellStyle name="Título 5" xfId="56" xr:uid="{86B973D2-0AD6-459C-B458-6562BAD455F3}"/>
    <cellStyle name="Total" xfId="37" builtinId="25" customBuiltin="1"/>
    <cellStyle name="Tusental (0)_pldt" xfId="309" xr:uid="{93B7045F-AEA5-4735-9CCC-76FB58726F25}"/>
    <cellStyle name="Tusental_pldt" xfId="310" xr:uid="{0C37712B-57F5-4EA4-B1BA-EC6BA725FA45}"/>
    <cellStyle name="Valuta (0)_pldt" xfId="311" xr:uid="{241510FE-5496-45DA-A2A2-E2D8FDB1ED33}"/>
    <cellStyle name="Valuta_pldt" xfId="312" xr:uid="{988ED7DD-1A21-4269-BD91-B138FB10BBA8}"/>
    <cellStyle name="Währung [0]_FBA-6" xfId="313" xr:uid="{82C3E174-0E43-42D4-963D-F133CF480B28}"/>
    <cellStyle name="Währung_FBA-6" xfId="314" xr:uid="{7B411640-0471-4361-8F43-7F58F8DB5769}"/>
    <cellStyle name="Warning Text 2" xfId="315" xr:uid="{D6D3F6AF-4371-4B77-A184-2B9D00060787}"/>
    <cellStyle name="Warning Text_IFRS MARZ-JUN-DIC DTT" xfId="316" xr:uid="{AAE9567A-FDB8-4935-8E1D-DDC5A975583F}"/>
    <cellStyle name="XComma" xfId="317" xr:uid="{07F3E139-A344-43C4-A37F-CF3FA01DB811}"/>
    <cellStyle name="XComma 0.0" xfId="318" xr:uid="{62C08484-A3BD-4121-808E-3C2DB52F58C0}"/>
    <cellStyle name="XComma 0.00" xfId="319" xr:uid="{7FFDEBF5-7AE3-438B-9D90-7F37301FF04A}"/>
    <cellStyle name="XComma 0.000" xfId="320" xr:uid="{59895553-8258-47C9-A529-F5D2AAF7ECA3}"/>
    <cellStyle name="XCurrency" xfId="321" xr:uid="{A9050AC3-C2E1-48A7-B16B-29555D23A12B}"/>
    <cellStyle name="XCurrency 0.0" xfId="322" xr:uid="{26AA658D-7225-4F86-A594-BB22D573023A}"/>
    <cellStyle name="XCurrency 0.00" xfId="323" xr:uid="{4882ADA3-B346-43B9-9320-6D62A2299F75}"/>
    <cellStyle name="XCurrency 0.000" xfId="324" xr:uid="{46C2D14B-E920-4DC5-BD82-9F1E5F392F9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tiff"/></Relationships>
</file>

<file path=xl/drawings/_rels/drawing2.xml.rels><?xml version="1.0" encoding="UTF-8" standalone="yes"?>
<Relationships xmlns="http://schemas.openxmlformats.org/package/2006/relationships"><Relationship Id="rId1" Type="http://schemas.openxmlformats.org/officeDocument/2006/relationships/image" Target="../media/image1.tiff"/></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tiff"/></Relationships>
</file>

<file path=xl/drawings/_rels/drawing4.xml.rels><?xml version="1.0" encoding="UTF-8" standalone="yes"?>
<Relationships xmlns="http://schemas.openxmlformats.org/package/2006/relationships"><Relationship Id="rId2" Type="http://schemas.openxmlformats.org/officeDocument/2006/relationships/image" Target="../media/image1.tiff"/><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2" Type="http://schemas.openxmlformats.org/officeDocument/2006/relationships/image" Target="../media/image1.tiff"/><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tiff"/></Relationships>
</file>

<file path=xl/drawings/_rels/drawing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tiff"/></Relationships>
</file>

<file path=xl/drawings/_rels/drawing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tiff"/></Relationships>
</file>

<file path=xl/drawings/drawing1.xml><?xml version="1.0" encoding="utf-8"?>
<xdr:wsDr xmlns:xdr="http://schemas.openxmlformats.org/drawingml/2006/spreadsheetDrawing" xmlns:a="http://schemas.openxmlformats.org/drawingml/2006/main">
  <xdr:twoCellAnchor editAs="oneCell">
    <xdr:from>
      <xdr:col>1</xdr:col>
      <xdr:colOff>107157</xdr:colOff>
      <xdr:row>0</xdr:row>
      <xdr:rowOff>71438</xdr:rowOff>
    </xdr:from>
    <xdr:to>
      <xdr:col>1</xdr:col>
      <xdr:colOff>1373029</xdr:colOff>
      <xdr:row>2</xdr:row>
      <xdr:rowOff>130996</xdr:rowOff>
    </xdr:to>
    <xdr:pic>
      <xdr:nvPicPr>
        <xdr:cNvPr id="4" name="Imagen 3" descr="Colbún logotipo H ME.tif">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a:stretch>
          <a:fillRect/>
        </a:stretch>
      </xdr:blipFill>
      <xdr:spPr>
        <a:xfrm>
          <a:off x="107157" y="71438"/>
          <a:ext cx="1262062" cy="444368"/>
        </a:xfrm>
        <a:prstGeom prst="rect">
          <a:avLst/>
        </a:prstGeom>
      </xdr:spPr>
    </xdr:pic>
    <xdr:clientData/>
  </xdr:twoCellAnchor>
  <xdr:twoCellAnchor editAs="oneCell">
    <xdr:from>
      <xdr:col>1</xdr:col>
      <xdr:colOff>0</xdr:colOff>
      <xdr:row>29</xdr:row>
      <xdr:rowOff>142875</xdr:rowOff>
    </xdr:from>
    <xdr:to>
      <xdr:col>1</xdr:col>
      <xdr:colOff>1333500</xdr:colOff>
      <xdr:row>33</xdr:row>
      <xdr:rowOff>36299</xdr:rowOff>
    </xdr:to>
    <xdr:pic>
      <xdr:nvPicPr>
        <xdr:cNvPr id="5" name="Imagen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4667250"/>
          <a:ext cx="1333500" cy="65542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116417</xdr:colOff>
      <xdr:row>0</xdr:row>
      <xdr:rowOff>74083</xdr:rowOff>
    </xdr:from>
    <xdr:to>
      <xdr:col>1</xdr:col>
      <xdr:colOff>1391814</xdr:colOff>
      <xdr:row>2</xdr:row>
      <xdr:rowOff>133641</xdr:rowOff>
    </xdr:to>
    <xdr:pic>
      <xdr:nvPicPr>
        <xdr:cNvPr id="3" name="Imagen 2" descr="Colbún logotipo H ME.tif">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stretch>
          <a:fillRect/>
        </a:stretch>
      </xdr:blipFill>
      <xdr:spPr>
        <a:xfrm>
          <a:off x="116417" y="74083"/>
          <a:ext cx="1262062" cy="444368"/>
        </a:xfrm>
        <a:prstGeom prst="rect">
          <a:avLst/>
        </a:prstGeom>
      </xdr:spPr>
    </xdr:pic>
    <xdr:clientData/>
  </xdr:twoCellAnchor>
  <xdr:oneCellAnchor>
    <xdr:from>
      <xdr:col>7</xdr:col>
      <xdr:colOff>116417</xdr:colOff>
      <xdr:row>0</xdr:row>
      <xdr:rowOff>74083</xdr:rowOff>
    </xdr:from>
    <xdr:ext cx="1263967" cy="419391"/>
    <xdr:pic>
      <xdr:nvPicPr>
        <xdr:cNvPr id="4" name="Imagen 3" descr="Colbún logotipo H ME.tif">
          <a:extLst>
            <a:ext uri="{FF2B5EF4-FFF2-40B4-BE49-F238E27FC236}">
              <a16:creationId xmlns:a16="http://schemas.microsoft.com/office/drawing/2014/main" id="{1639958A-B782-4CEE-A21E-245E1601E705}"/>
            </a:ext>
          </a:extLst>
        </xdr:cNvPr>
        <xdr:cNvPicPr>
          <a:picLocks noChangeAspect="1"/>
        </xdr:cNvPicPr>
      </xdr:nvPicPr>
      <xdr:blipFill>
        <a:blip xmlns:r="http://schemas.openxmlformats.org/officeDocument/2006/relationships" r:embed="rId1"/>
        <a:stretch>
          <a:fillRect/>
        </a:stretch>
      </xdr:blipFill>
      <xdr:spPr>
        <a:xfrm>
          <a:off x="116417" y="74083"/>
          <a:ext cx="1263967" cy="419391"/>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twoCellAnchor editAs="oneCell">
    <xdr:from>
      <xdr:col>1</xdr:col>
      <xdr:colOff>134938</xdr:colOff>
      <xdr:row>0</xdr:row>
      <xdr:rowOff>58571</xdr:rowOff>
    </xdr:from>
    <xdr:to>
      <xdr:col>1</xdr:col>
      <xdr:colOff>1393190</xdr:colOff>
      <xdr:row>2</xdr:row>
      <xdr:rowOff>129559</xdr:rowOff>
    </xdr:to>
    <xdr:pic>
      <xdr:nvPicPr>
        <xdr:cNvPr id="2" name="Imagen 1" descr="Colbún logotipo H ME.tif">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134938" y="58571"/>
          <a:ext cx="1262062" cy="444368"/>
        </a:xfrm>
        <a:prstGeom prst="rect">
          <a:avLst/>
        </a:prstGeom>
      </xdr:spPr>
    </xdr:pic>
    <xdr:clientData/>
  </xdr:twoCellAnchor>
  <xdr:twoCellAnchor editAs="oneCell">
    <xdr:from>
      <xdr:col>0</xdr:col>
      <xdr:colOff>0</xdr:colOff>
      <xdr:row>37</xdr:row>
      <xdr:rowOff>107156</xdr:rowOff>
    </xdr:from>
    <xdr:to>
      <xdr:col>1</xdr:col>
      <xdr:colOff>1333500</xdr:colOff>
      <xdr:row>39</xdr:row>
      <xdr:rowOff>39104</xdr:rowOff>
    </xdr:to>
    <xdr:pic>
      <xdr:nvPicPr>
        <xdr:cNvPr id="3" name="Imagen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7431881"/>
          <a:ext cx="1333500" cy="65584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23</xdr:row>
      <xdr:rowOff>52916</xdr:rowOff>
    </xdr:from>
    <xdr:to>
      <xdr:col>1</xdr:col>
      <xdr:colOff>1351915</xdr:colOff>
      <xdr:row>26</xdr:row>
      <xdr:rowOff>152446</xdr:rowOff>
    </xdr:to>
    <xdr:pic>
      <xdr:nvPicPr>
        <xdr:cNvPr id="2" name="Imagen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3693583"/>
          <a:ext cx="1365250" cy="671030"/>
        </a:xfrm>
        <a:prstGeom prst="rect">
          <a:avLst/>
        </a:prstGeom>
      </xdr:spPr>
    </xdr:pic>
    <xdr:clientData/>
  </xdr:twoCellAnchor>
  <xdr:twoCellAnchor editAs="oneCell">
    <xdr:from>
      <xdr:col>1</xdr:col>
      <xdr:colOff>127002</xdr:colOff>
      <xdr:row>0</xdr:row>
      <xdr:rowOff>74083</xdr:rowOff>
    </xdr:from>
    <xdr:to>
      <xdr:col>1</xdr:col>
      <xdr:colOff>1276774</xdr:colOff>
      <xdr:row>2</xdr:row>
      <xdr:rowOff>95445</xdr:rowOff>
    </xdr:to>
    <xdr:pic>
      <xdr:nvPicPr>
        <xdr:cNvPr id="3" name="Imagen 2" descr="Colbún logotipo H ME.tif">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2"/>
        <a:stretch>
          <a:fillRect/>
        </a:stretch>
      </xdr:blipFill>
      <xdr:spPr>
        <a:xfrm>
          <a:off x="127002" y="74083"/>
          <a:ext cx="1153582" cy="40617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18</xdr:row>
      <xdr:rowOff>95250</xdr:rowOff>
    </xdr:from>
    <xdr:to>
      <xdr:col>1</xdr:col>
      <xdr:colOff>1355725</xdr:colOff>
      <xdr:row>22</xdr:row>
      <xdr:rowOff>470</xdr:rowOff>
    </xdr:to>
    <xdr:pic>
      <xdr:nvPicPr>
        <xdr:cNvPr id="3" name="Imagen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2614083"/>
          <a:ext cx="1365250" cy="671030"/>
        </a:xfrm>
        <a:prstGeom prst="rect">
          <a:avLst/>
        </a:prstGeom>
      </xdr:spPr>
    </xdr:pic>
    <xdr:clientData/>
  </xdr:twoCellAnchor>
  <xdr:twoCellAnchor editAs="oneCell">
    <xdr:from>
      <xdr:col>1</xdr:col>
      <xdr:colOff>0</xdr:colOff>
      <xdr:row>0</xdr:row>
      <xdr:rowOff>95253</xdr:rowOff>
    </xdr:from>
    <xdr:to>
      <xdr:col>1</xdr:col>
      <xdr:colOff>1159297</xdr:colOff>
      <xdr:row>2</xdr:row>
      <xdr:rowOff>129950</xdr:rowOff>
    </xdr:to>
    <xdr:pic>
      <xdr:nvPicPr>
        <xdr:cNvPr id="4" name="Imagen 3" descr="Colbún logotipo H ME.tif">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2"/>
        <a:stretch>
          <a:fillRect/>
        </a:stretch>
      </xdr:blipFill>
      <xdr:spPr>
        <a:xfrm>
          <a:off x="0" y="95253"/>
          <a:ext cx="1153582" cy="406172"/>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119060</xdr:colOff>
      <xdr:row>0</xdr:row>
      <xdr:rowOff>119064</xdr:rowOff>
    </xdr:from>
    <xdr:to>
      <xdr:col>0</xdr:col>
      <xdr:colOff>1272642</xdr:colOff>
      <xdr:row>2</xdr:row>
      <xdr:rowOff>132806</xdr:rowOff>
    </xdr:to>
    <xdr:pic>
      <xdr:nvPicPr>
        <xdr:cNvPr id="3" name="Imagen 2" descr="Colbún logotipo H ME.tif">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1"/>
        <a:stretch>
          <a:fillRect/>
        </a:stretch>
      </xdr:blipFill>
      <xdr:spPr>
        <a:xfrm>
          <a:off x="119060" y="119064"/>
          <a:ext cx="1153582" cy="406172"/>
        </a:xfrm>
        <a:prstGeom prst="rect">
          <a:avLst/>
        </a:prstGeom>
      </xdr:spPr>
    </xdr:pic>
    <xdr:clientData/>
  </xdr:twoCellAnchor>
  <xdr:twoCellAnchor editAs="oneCell">
    <xdr:from>
      <xdr:col>0</xdr:col>
      <xdr:colOff>0</xdr:colOff>
      <xdr:row>13</xdr:row>
      <xdr:rowOff>154782</xdr:rowOff>
    </xdr:from>
    <xdr:to>
      <xdr:col>0</xdr:col>
      <xdr:colOff>1355725</xdr:colOff>
      <xdr:row>17</xdr:row>
      <xdr:rowOff>56192</xdr:rowOff>
    </xdr:to>
    <xdr:pic>
      <xdr:nvPicPr>
        <xdr:cNvPr id="4" name="Imagen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2738438"/>
          <a:ext cx="1365250" cy="67103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57150</xdr:colOff>
      <xdr:row>0</xdr:row>
      <xdr:rowOff>95250</xdr:rowOff>
    </xdr:from>
    <xdr:to>
      <xdr:col>0</xdr:col>
      <xdr:colOff>1199302</xdr:colOff>
      <xdr:row>2</xdr:row>
      <xdr:rowOff>130899</xdr:rowOff>
    </xdr:to>
    <xdr:pic>
      <xdr:nvPicPr>
        <xdr:cNvPr id="2" name="Imagen 1" descr="Colbún logotipo H ME.tif">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57150" y="95250"/>
          <a:ext cx="1142152" cy="416649"/>
        </a:xfrm>
        <a:prstGeom prst="rect">
          <a:avLst/>
        </a:prstGeom>
      </xdr:spPr>
    </xdr:pic>
    <xdr:clientData/>
  </xdr:twoCellAnchor>
  <xdr:twoCellAnchor editAs="oneCell">
    <xdr:from>
      <xdr:col>0</xdr:col>
      <xdr:colOff>0</xdr:colOff>
      <xdr:row>9</xdr:row>
      <xdr:rowOff>127001</xdr:rowOff>
    </xdr:from>
    <xdr:to>
      <xdr:col>0</xdr:col>
      <xdr:colOff>1370012</xdr:colOff>
      <xdr:row>13</xdr:row>
      <xdr:rowOff>39841</xdr:rowOff>
    </xdr:to>
    <xdr:pic>
      <xdr:nvPicPr>
        <xdr:cNvPr id="3" name="Imagen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1852084"/>
          <a:ext cx="1365250" cy="67103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142875</xdr:colOff>
      <xdr:row>0</xdr:row>
      <xdr:rowOff>59532</xdr:rowOff>
    </xdr:from>
    <xdr:to>
      <xdr:col>1</xdr:col>
      <xdr:colOff>1296457</xdr:colOff>
      <xdr:row>2</xdr:row>
      <xdr:rowOff>92324</xdr:rowOff>
    </xdr:to>
    <xdr:pic>
      <xdr:nvPicPr>
        <xdr:cNvPr id="3" name="Imagen 2" descr="Colbún logotipo H ME.tif">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stretch>
          <a:fillRect/>
        </a:stretch>
      </xdr:blipFill>
      <xdr:spPr>
        <a:xfrm>
          <a:off x="142875" y="59532"/>
          <a:ext cx="1153582" cy="406172"/>
        </a:xfrm>
        <a:prstGeom prst="rect">
          <a:avLst/>
        </a:prstGeom>
      </xdr:spPr>
    </xdr:pic>
    <xdr:clientData/>
  </xdr:twoCellAnchor>
  <xdr:twoCellAnchor editAs="oneCell">
    <xdr:from>
      <xdr:col>1</xdr:col>
      <xdr:colOff>0</xdr:colOff>
      <xdr:row>18</xdr:row>
      <xdr:rowOff>83343</xdr:rowOff>
    </xdr:from>
    <xdr:to>
      <xdr:col>1</xdr:col>
      <xdr:colOff>1351915</xdr:colOff>
      <xdr:row>22</xdr:row>
      <xdr:rowOff>1898</xdr:rowOff>
    </xdr:to>
    <xdr:pic>
      <xdr:nvPicPr>
        <xdr:cNvPr id="4" name="Imagen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3369468"/>
          <a:ext cx="1365250" cy="67103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ersonal/izaldivar_colbun_cl/Documents/RESPALDO%20IZ/An&#225;lisis%20Razonado/2Q21/Analisis%20Razonado%202T2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izaldivar\AppData\Local\Microsoft\Windows\INetCache\Content.Outlook\D4D6BS83\00.%20Balance%20de%20gesti&#243;n%20-%20Mar%202022%20v5.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izaldivar/Documents/Balance%20de%20Gesti&#243;n/12-2020/Copia%20de%20Bce%20Gesti&#243;n%20Fenix%20%20Consolidado%2012-2020-V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dioma"/>
      <sheetName val="Vtas Fisicas y Gx. Chile"/>
      <sheetName val="Vtas Fisicas y Gx. Peru"/>
      <sheetName val="Tipo Cambio"/>
      <sheetName val="Tasas"/>
      <sheetName val="EBITDA Gx Chile"/>
      <sheetName val="EBITDA Tx"/>
      <sheetName val="Analisis unitario"/>
      <sheetName val="EBITDA CHILE"/>
      <sheetName val="EERR Cons."/>
      <sheetName val="EBITDA PERÚ"/>
      <sheetName val=" Px Monomicos Chile"/>
      <sheetName val="Px Monomicos Perú"/>
      <sheetName val="Gastos No Operacionales Cons"/>
      <sheetName val="Gastos No Operacionales PERÚ"/>
      <sheetName val="Balance Consolidado"/>
      <sheetName val="Balance Reducido"/>
      <sheetName val="Deuda"/>
      <sheetName val="Flujo Efectivo"/>
      <sheetName val="CMg"/>
      <sheetName val="Bce Consolidado"/>
      <sheetName val="Indicadores Financieros"/>
      <sheetName val="Resumen"/>
      <sheetName val="Gastos Financieros"/>
      <sheetName val="Gasto Fijo"/>
      <sheetName val="Caudales"/>
      <sheetName val="Precipitaciones"/>
      <sheetName val="UNIDADES FÍSICAS Y VALORADAS"/>
      <sheetName val="Datos Energía y Potencia"/>
      <sheetName val="Energía y Potencia en MMUSD"/>
      <sheetName val="Systep"/>
      <sheetName val="WTI"/>
      <sheetName val="Activos Corrientes "/>
      <sheetName val="Precios-Info"/>
      <sheetName val="Activos No Corrientes"/>
      <sheetName val="Pasivos Corrientes"/>
      <sheetName val="Pasivos No Corrientes"/>
      <sheetName val="Patrimonio"/>
      <sheetName val="Vtas Fisica y Gx mensual"/>
      <sheetName val="Hoja1"/>
      <sheetName val="Hoja3"/>
      <sheetName val="Disponibilidad"/>
    </sheetNames>
    <sheetDataSet>
      <sheetData sheetId="0"/>
      <sheetData sheetId="1"/>
      <sheetData sheetId="2"/>
      <sheetData sheetId="3"/>
      <sheetData sheetId="4"/>
      <sheetData sheetId="5"/>
      <sheetData sheetId="6"/>
      <sheetData sheetId="7"/>
      <sheetData sheetId="8"/>
      <sheetData sheetId="9">
        <row r="28">
          <cell r="BO28">
            <v>-52.134216937046602</v>
          </cell>
        </row>
        <row r="30">
          <cell r="BO30">
            <v>94.606332352696029</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A_BI_BLCE"/>
      <sheetName val="TABLA_BI_EERR"/>
      <sheetName val="TABLA_DTC"/>
      <sheetName val="TC"/>
      <sheetName val="PAV2"/>
      <sheetName val="TABLAS DESCALCE"/>
      <sheetName val="Plan de Cuentas Hana"/>
      <sheetName val="tabla cuentas desclace"/>
      <sheetName val="Portada"/>
      <sheetName val="00.BD"/>
      <sheetName val="TABLA"/>
      <sheetName val="Tabla IFRS"/>
      <sheetName val="Índice"/>
      <sheetName val="balanceE"/>
      <sheetName val="01.BALANCE"/>
      <sheetName val="02.RESULTADO CONS"/>
      <sheetName val="03.RESULTADO FENP"/>
      <sheetName val="04.RESULTADO GX"/>
      <sheetName val="Clave Balance"/>
      <sheetName val="Clave Resultado"/>
      <sheetName val="05. Plan 2022 Gx"/>
      <sheetName val="06.DESCALCE CONS"/>
      <sheetName val="07.DESCALCE CONS V2"/>
      <sheetName val="09.Activo"/>
      <sheetName val="10.Pasivo"/>
      <sheetName val="11.Resultados"/>
      <sheetName val="12.Otro Resultado Integral"/>
      <sheetName val="13.Cambios"/>
      <sheetName val="14.BAL AR"/>
      <sheetName val="15.EERR CONS"/>
      <sheetName val="16.EERR AR FENP"/>
      <sheetName val="17.EERR AR GX"/>
      <sheetName val="19.Indicad"/>
      <sheetName val="20. IF"/>
      <sheetName val="EFE"/>
      <sheetName val="EFE DIR"/>
      <sheetName val="BD-R° (2)"/>
      <sheetName val="EEFF Desaladora"/>
      <sheetName val="Compras a Efizit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3">
          <cell r="E3">
            <v>1198.4587716144599</v>
          </cell>
          <cell r="O3">
            <v>1175.0899999999999</v>
          </cell>
          <cell r="R3">
            <v>21.9</v>
          </cell>
          <cell r="S3">
            <v>60.866082339999991</v>
          </cell>
        </row>
        <row r="11">
          <cell r="R11">
            <v>1695.91</v>
          </cell>
          <cell r="S11">
            <v>350.49495662999999</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sheetData sheetId="37"/>
      <sheetData sheetId="3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ce"/>
      <sheetName val="BD-R°"/>
      <sheetName val="B"/>
      <sheetName val="R"/>
      <sheetName val="IFRS"/>
      <sheetName val="A°"/>
      <sheetName val="P°"/>
      <sheetName val="R°"/>
      <sheetName val="Ppto"/>
      <sheetName val="B°G°"/>
      <sheetName val="R°G°"/>
      <sheetName val="R°T°"/>
      <sheetName val="M°P°"/>
      <sheetName val="Det Impto"/>
      <sheetName val="Carp Dir"/>
      <sheetName val="Ok"/>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BAL AR"/>
      <sheetName val="EERR AR"/>
      <sheetName val="EFE"/>
      <sheetName val="Indicad"/>
      <sheetName val="IF 12-'2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4">
          <cell r="D4">
            <v>28.840882880000002</v>
          </cell>
          <cell r="I4">
            <v>58.727120349999993</v>
          </cell>
        </row>
        <row r="12">
          <cell r="I12">
            <v>400.82356003999996</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4:AZ53"/>
  <sheetViews>
    <sheetView topLeftCell="B30" zoomScale="86" zoomScaleNormal="86" workbookViewId="0">
      <selection activeCell="D41" sqref="D41"/>
    </sheetView>
  </sheetViews>
  <sheetFormatPr baseColWidth="10" defaultColWidth="11.42578125" defaultRowHeight="15"/>
  <cols>
    <col min="1" max="1" width="7.28515625" style="1" hidden="1" customWidth="1"/>
    <col min="2" max="2" width="40" style="1" bestFit="1" customWidth="1"/>
    <col min="3" max="3" width="11.42578125" style="1"/>
    <col min="4" max="4" width="11.42578125" style="75"/>
    <col min="5" max="7" width="11.42578125" style="1"/>
    <col min="8" max="8" width="37.42578125" style="1" customWidth="1"/>
    <col min="9" max="36" width="11.42578125" style="1" customWidth="1"/>
    <col min="37" max="37" width="11.42578125" style="1"/>
    <col min="38" max="40" width="11.42578125" style="1" customWidth="1"/>
    <col min="41" max="16384" width="11.42578125" style="1"/>
  </cols>
  <sheetData>
    <row r="4" spans="1:43" ht="23.25">
      <c r="B4" s="12" t="s">
        <v>0</v>
      </c>
      <c r="C4" s="13"/>
      <c r="D4" s="74"/>
      <c r="E4" s="13"/>
      <c r="H4" s="12" t="s">
        <v>0</v>
      </c>
      <c r="I4" s="13"/>
      <c r="J4" s="13"/>
      <c r="K4" s="13"/>
      <c r="L4" s="13"/>
      <c r="M4" s="13"/>
      <c r="N4" s="13"/>
      <c r="O4" s="13"/>
      <c r="P4" s="13"/>
      <c r="Q4" s="13"/>
      <c r="R4" s="13"/>
      <c r="S4" s="13"/>
      <c r="T4" s="13"/>
      <c r="U4" s="13"/>
      <c r="V4" s="13"/>
      <c r="W4" s="13"/>
      <c r="X4" s="13"/>
      <c r="Y4" s="13"/>
      <c r="Z4" s="13"/>
      <c r="AA4" s="13"/>
      <c r="AB4" s="13"/>
      <c r="AC4" s="13"/>
      <c r="AD4" s="13"/>
      <c r="AE4" s="13"/>
      <c r="AF4" s="13"/>
      <c r="AG4" s="13"/>
      <c r="AH4" s="13"/>
      <c r="AI4" s="13"/>
      <c r="AJ4" s="13"/>
      <c r="AK4" s="13"/>
      <c r="AL4" s="13"/>
      <c r="AM4" s="13"/>
      <c r="AN4" s="13"/>
      <c r="AO4" s="13"/>
    </row>
    <row r="6" spans="1:43">
      <c r="A6" s="1">
        <v>1</v>
      </c>
      <c r="B6" s="3" t="s">
        <v>1</v>
      </c>
      <c r="C6" s="117" t="s">
        <v>34</v>
      </c>
      <c r="D6" s="118" t="s">
        <v>148</v>
      </c>
      <c r="E6" s="117" t="s">
        <v>4</v>
      </c>
      <c r="H6" s="3" t="s">
        <v>5</v>
      </c>
      <c r="I6" s="117" t="s">
        <v>6</v>
      </c>
      <c r="J6" s="117" t="s">
        <v>7</v>
      </c>
      <c r="K6" s="117" t="s">
        <v>8</v>
      </c>
      <c r="L6" s="117" t="s">
        <v>9</v>
      </c>
      <c r="M6" s="117" t="s">
        <v>10</v>
      </c>
      <c r="N6" s="117" t="s">
        <v>11</v>
      </c>
      <c r="O6" s="117" t="s">
        <v>12</v>
      </c>
      <c r="P6" s="117" t="s">
        <v>13</v>
      </c>
      <c r="Q6" s="117" t="s">
        <v>14</v>
      </c>
      <c r="R6" s="117" t="s">
        <v>15</v>
      </c>
      <c r="S6" s="117" t="s">
        <v>16</v>
      </c>
      <c r="T6" s="117" t="s">
        <v>17</v>
      </c>
      <c r="U6" s="117" t="s">
        <v>18</v>
      </c>
      <c r="V6" s="117" t="s">
        <v>19</v>
      </c>
      <c r="W6" s="117" t="s">
        <v>20</v>
      </c>
      <c r="X6" s="117" t="s">
        <v>21</v>
      </c>
      <c r="Y6" s="117" t="s">
        <v>22</v>
      </c>
      <c r="Z6" s="117" t="s">
        <v>23</v>
      </c>
      <c r="AA6" s="117" t="s">
        <v>24</v>
      </c>
      <c r="AB6" s="117" t="s">
        <v>25</v>
      </c>
      <c r="AC6" s="117" t="s">
        <v>26</v>
      </c>
      <c r="AD6" s="117" t="s">
        <v>27</v>
      </c>
      <c r="AE6" s="117" t="s">
        <v>28</v>
      </c>
      <c r="AF6" s="117" t="s">
        <v>29</v>
      </c>
      <c r="AG6" s="117" t="s">
        <v>30</v>
      </c>
      <c r="AH6" s="117" t="s">
        <v>31</v>
      </c>
      <c r="AI6" s="117" t="s">
        <v>32</v>
      </c>
      <c r="AJ6" s="117" t="s">
        <v>33</v>
      </c>
      <c r="AK6" s="117" t="s">
        <v>2</v>
      </c>
      <c r="AL6" s="117" t="s">
        <v>34</v>
      </c>
      <c r="AM6" s="117" t="s">
        <v>35</v>
      </c>
      <c r="AN6" s="117" t="s">
        <v>36</v>
      </c>
      <c r="AO6" s="117" t="s">
        <v>3</v>
      </c>
      <c r="AP6" s="117" t="s">
        <v>148</v>
      </c>
    </row>
    <row r="7" spans="1:43">
      <c r="A7" s="1">
        <f>+A6+1</f>
        <v>2</v>
      </c>
      <c r="B7" s="3" t="s">
        <v>37</v>
      </c>
      <c r="C7" s="117"/>
      <c r="D7" s="118"/>
      <c r="E7" s="117"/>
      <c r="H7" s="3" t="s">
        <v>37</v>
      </c>
      <c r="I7" s="117"/>
      <c r="J7" s="117"/>
      <c r="K7" s="117"/>
      <c r="L7" s="117"/>
      <c r="M7" s="117"/>
      <c r="N7" s="117"/>
      <c r="O7" s="117"/>
      <c r="P7" s="117"/>
      <c r="Q7" s="117"/>
      <c r="R7" s="117"/>
      <c r="S7" s="117"/>
      <c r="T7" s="117"/>
      <c r="U7" s="117"/>
      <c r="V7" s="117"/>
      <c r="W7" s="117"/>
      <c r="X7" s="117"/>
      <c r="Y7" s="117"/>
      <c r="Z7" s="117"/>
      <c r="AA7" s="117"/>
      <c r="AB7" s="117"/>
      <c r="AC7" s="117"/>
      <c r="AD7" s="117"/>
      <c r="AE7" s="117"/>
      <c r="AF7" s="117"/>
      <c r="AG7" s="117"/>
      <c r="AH7" s="117"/>
      <c r="AI7" s="117"/>
      <c r="AJ7" s="117"/>
      <c r="AK7" s="117"/>
      <c r="AL7" s="117"/>
      <c r="AM7" s="117"/>
      <c r="AN7" s="117"/>
      <c r="AO7" s="117"/>
      <c r="AP7" s="117"/>
    </row>
    <row r="8" spans="1:43">
      <c r="A8" s="1">
        <f t="shared" ref="A8:A29" si="0">+A7+1</f>
        <v>3</v>
      </c>
      <c r="C8" s="66"/>
      <c r="D8" s="66"/>
      <c r="E8" s="59"/>
    </row>
    <row r="9" spans="1:43">
      <c r="A9" s="1">
        <f t="shared" si="0"/>
        <v>4</v>
      </c>
      <c r="B9" s="6" t="s">
        <v>38</v>
      </c>
      <c r="C9" s="60">
        <f>+HLOOKUP($C$6,H6:AS29,A9,FALSE)</f>
        <v>3075.8702213144702</v>
      </c>
      <c r="D9" s="76">
        <f>+HLOOKUP($D$6,$H$6:$BL$29,A9,FALSE)</f>
        <v>3533.4756425256846</v>
      </c>
      <c r="E9" s="61">
        <f>D9/C9-1</f>
        <v>0.14877266863868432</v>
      </c>
      <c r="H9" s="6" t="s">
        <v>38</v>
      </c>
      <c r="I9" s="24">
        <f>SUM(I11:I13)</f>
        <v>2560.681023770358</v>
      </c>
      <c r="J9" s="24">
        <f t="shared" ref="J9:W9" si="1">SUM(J11:J13)</f>
        <v>3204.9189762296419</v>
      </c>
      <c r="K9" s="24">
        <f t="shared" si="1"/>
        <v>3160</v>
      </c>
      <c r="L9" s="24">
        <f t="shared" si="1"/>
        <v>3256.6374880461249</v>
      </c>
      <c r="M9" s="24">
        <f t="shared" si="1"/>
        <v>3108.5000952819764</v>
      </c>
      <c r="N9" s="24">
        <f t="shared" si="1"/>
        <v>3307.390542442422</v>
      </c>
      <c r="O9" s="24">
        <f t="shared" si="1"/>
        <v>3196.9342477735267</v>
      </c>
      <c r="P9" s="24">
        <f t="shared" si="1"/>
        <v>2884.5970569424348</v>
      </c>
      <c r="Q9" s="24">
        <f t="shared" si="1"/>
        <v>3159.4090628176209</v>
      </c>
      <c r="R9" s="24">
        <f t="shared" si="1"/>
        <v>3243.5380586726274</v>
      </c>
      <c r="S9" s="24">
        <f t="shared" si="1"/>
        <v>2781</v>
      </c>
      <c r="T9" s="24">
        <f t="shared" si="1"/>
        <v>2772.5335138224214</v>
      </c>
      <c r="U9" s="24">
        <f t="shared" si="1"/>
        <v>3110.0663316242094</v>
      </c>
      <c r="V9" s="24">
        <f t="shared" si="1"/>
        <v>3272.6612769021672</v>
      </c>
      <c r="W9" s="24">
        <f t="shared" si="1"/>
        <v>3026.6000000000004</v>
      </c>
      <c r="X9" s="24">
        <f t="shared" ref="X9:Y9" si="2">SUM(X11:X13)</f>
        <v>3018.3478999999998</v>
      </c>
      <c r="Y9" s="24">
        <f t="shared" si="2"/>
        <v>3407.8686676943248</v>
      </c>
      <c r="Z9" s="24">
        <f t="shared" ref="Z9" si="3">SUM(Z11:Z13)</f>
        <v>3424.7141303512244</v>
      </c>
      <c r="AA9" s="24">
        <f t="shared" ref="AA9:AN9" si="4">SUM(AA11:AA13)</f>
        <v>3024.3315116932845</v>
      </c>
      <c r="AB9" s="24">
        <f t="shared" si="4"/>
        <v>2985.7599999999998</v>
      </c>
      <c r="AC9" s="24">
        <f t="shared" si="4"/>
        <v>3258.472476178159</v>
      </c>
      <c r="AD9" s="24">
        <f t="shared" si="4"/>
        <v>3269.1335247947418</v>
      </c>
      <c r="AE9" s="24">
        <f t="shared" si="4"/>
        <v>2892.5098733903596</v>
      </c>
      <c r="AF9" s="24">
        <f t="shared" si="4"/>
        <v>2757.7442338119999</v>
      </c>
      <c r="AG9" s="24">
        <f t="shared" si="4"/>
        <v>2894.7184263164395</v>
      </c>
      <c r="AH9" s="24">
        <f t="shared" si="4"/>
        <v>3020.1895664713779</v>
      </c>
      <c r="AI9" s="24">
        <f t="shared" si="4"/>
        <v>3453.1873442230267</v>
      </c>
      <c r="AJ9" s="24">
        <f t="shared" si="4"/>
        <v>2677.069158441248</v>
      </c>
      <c r="AK9" s="24">
        <f t="shared" si="4"/>
        <v>2521.9834357051286</v>
      </c>
      <c r="AL9" s="24">
        <f t="shared" si="4"/>
        <v>3075.8702213144702</v>
      </c>
      <c r="AM9" s="24">
        <f t="shared" si="4"/>
        <v>2755.1397553816778</v>
      </c>
      <c r="AN9" s="24">
        <f t="shared" si="4"/>
        <v>2569.0480403348361</v>
      </c>
      <c r="AO9" s="24">
        <f>SUM(AO11:AO13)</f>
        <v>3189.1785544571021</v>
      </c>
      <c r="AP9" s="97">
        <v>3533.4756425256846</v>
      </c>
      <c r="AQ9" s="26"/>
    </row>
    <row r="10" spans="1:43" ht="5.25" customHeight="1">
      <c r="A10" s="1">
        <f t="shared" si="0"/>
        <v>5</v>
      </c>
      <c r="C10" s="59"/>
      <c r="E10" s="59"/>
    </row>
    <row r="11" spans="1:43">
      <c r="A11" s="1">
        <f t="shared" si="0"/>
        <v>6</v>
      </c>
      <c r="B11" s="5" t="s">
        <v>39</v>
      </c>
      <c r="C11" s="62">
        <f>+HLOOKUP($C$6,$H$6:$AS$31,A11,FALSE)</f>
        <v>789.44461200000001</v>
      </c>
      <c r="D11" s="77">
        <f>+HLOOKUP($D$6,$H$6:$BK$29,A11,FALSE)</f>
        <v>609.82491441462162</v>
      </c>
      <c r="E11" s="63">
        <f>+D11/C11-1</f>
        <v>-0.22752666223197737</v>
      </c>
      <c r="H11" s="5" t="s">
        <v>39</v>
      </c>
      <c r="I11" s="25">
        <v>1109</v>
      </c>
      <c r="J11" s="25">
        <v>1621</v>
      </c>
      <c r="K11" s="25">
        <v>1816</v>
      </c>
      <c r="L11" s="25">
        <v>2109</v>
      </c>
      <c r="M11" s="25">
        <v>1733.6471680194898</v>
      </c>
      <c r="N11" s="25">
        <v>1698.807051092178</v>
      </c>
      <c r="O11" s="25">
        <v>1635.6751473021668</v>
      </c>
      <c r="P11" s="25">
        <v>1556.7919803760619</v>
      </c>
      <c r="Q11" s="25">
        <v>1644.6652440438811</v>
      </c>
      <c r="R11" s="25">
        <v>1622.1834633647968</v>
      </c>
      <c r="S11" s="25">
        <v>1621</v>
      </c>
      <c r="T11" s="25">
        <v>1645.6228534367942</v>
      </c>
      <c r="U11" s="25">
        <v>1654.636696809614</v>
      </c>
      <c r="V11" s="25">
        <v>1578.8122475593327</v>
      </c>
      <c r="W11" s="25">
        <v>1579.9</v>
      </c>
      <c r="X11" s="25">
        <v>1489.7</v>
      </c>
      <c r="Y11" s="25">
        <v>1416.5104173471059</v>
      </c>
      <c r="Z11" s="25">
        <v>1376.7867522959921</v>
      </c>
      <c r="AA11" s="25">
        <v>1368.2160000000001</v>
      </c>
      <c r="AB11" s="25">
        <v>1255.8720000000001</v>
      </c>
      <c r="AC11" s="25">
        <v>1086.4614696775211</v>
      </c>
      <c r="AD11" s="25">
        <v>1111.3063159999999</v>
      </c>
      <c r="AE11" s="25">
        <v>1125.5098733903596</v>
      </c>
      <c r="AF11" s="25">
        <v>1024.871184053</v>
      </c>
      <c r="AG11" s="25">
        <v>788.30658700000004</v>
      </c>
      <c r="AH11" s="25">
        <v>783.91245300000003</v>
      </c>
      <c r="AI11" s="25">
        <v>827.47447275453328</v>
      </c>
      <c r="AJ11" s="25">
        <v>753.238795281791</v>
      </c>
      <c r="AK11" s="25">
        <v>727.339743</v>
      </c>
      <c r="AL11" s="25">
        <v>789.44461200000001</v>
      </c>
      <c r="AM11" s="25">
        <v>845.33437100000003</v>
      </c>
      <c r="AN11" s="25">
        <v>737.14997254529067</v>
      </c>
      <c r="AO11" s="25">
        <v>551.28878070053247</v>
      </c>
      <c r="AP11" s="25">
        <v>609.82491441462162</v>
      </c>
      <c r="AQ11" s="26"/>
    </row>
    <row r="12" spans="1:43">
      <c r="A12" s="1">
        <f t="shared" si="0"/>
        <v>7</v>
      </c>
      <c r="B12" s="5" t="s">
        <v>40</v>
      </c>
      <c r="C12" s="62">
        <f>+HLOOKUP($C$6,$H$6:$AS$31,A12,FALSE)</f>
        <v>1664.834742816</v>
      </c>
      <c r="D12" s="77">
        <f>+HLOOKUP($D$6,$H$6:$BK$29,A12,FALSE)</f>
        <v>2386.233717374178</v>
      </c>
      <c r="E12" s="64">
        <f t="shared" ref="E12:E13" si="5">+D12/C12-1</f>
        <v>0.43331566551642298</v>
      </c>
      <c r="H12" s="5" t="s">
        <v>40</v>
      </c>
      <c r="I12" s="25">
        <v>1232.7135073230352</v>
      </c>
      <c r="J12" s="25">
        <v>1159.3864926769647</v>
      </c>
      <c r="K12" s="25">
        <v>1197</v>
      </c>
      <c r="L12" s="25">
        <v>1147.6374880461249</v>
      </c>
      <c r="M12" s="25">
        <v>1047.8529272624869</v>
      </c>
      <c r="N12" s="25">
        <v>1124.583491350244</v>
      </c>
      <c r="O12" s="25">
        <v>1105.54281147136</v>
      </c>
      <c r="P12" s="25">
        <v>1150.043912020727</v>
      </c>
      <c r="Q12" s="25">
        <v>1111.9510521693539</v>
      </c>
      <c r="R12" s="25">
        <v>1108.645275548731</v>
      </c>
      <c r="S12" s="25">
        <v>1160</v>
      </c>
      <c r="T12" s="25">
        <v>1126.9106603856271</v>
      </c>
      <c r="U12" s="25">
        <v>1099.855435357053</v>
      </c>
      <c r="V12" s="25">
        <v>1217.4004521789029</v>
      </c>
      <c r="W12" s="25">
        <v>1230.9000000000001</v>
      </c>
      <c r="X12" s="25">
        <v>1183.54</v>
      </c>
      <c r="Y12" s="25">
        <v>1466.8419977512128</v>
      </c>
      <c r="Z12" s="25">
        <v>1530.5063780552321</v>
      </c>
      <c r="AA12" s="25">
        <v>1541.9482833212292</v>
      </c>
      <c r="AB12" s="25">
        <v>1573.4090000000001</v>
      </c>
      <c r="AC12" s="25">
        <v>1492.418422</v>
      </c>
      <c r="AD12" s="25">
        <v>1592.1897899999999</v>
      </c>
      <c r="AE12" s="25">
        <v>1736</v>
      </c>
      <c r="AF12" s="25">
        <v>1732.873049759</v>
      </c>
      <c r="AG12" s="25">
        <v>1706.4336673559997</v>
      </c>
      <c r="AH12" s="25">
        <v>1735.752988406</v>
      </c>
      <c r="AI12" s="25">
        <v>1836.2943763810001</v>
      </c>
      <c r="AJ12" s="25">
        <v>1888.6207892510001</v>
      </c>
      <c r="AK12" s="25">
        <v>1707.3468317219999</v>
      </c>
      <c r="AL12" s="25">
        <v>1664.834742816</v>
      </c>
      <c r="AM12" s="25">
        <v>1656.1685869109997</v>
      </c>
      <c r="AN12" s="25">
        <v>1652.1039219766974</v>
      </c>
      <c r="AO12" s="25">
        <v>2400.3483970692996</v>
      </c>
      <c r="AP12" s="25">
        <v>2386.233717374178</v>
      </c>
      <c r="AQ12" s="26"/>
    </row>
    <row r="13" spans="1:43">
      <c r="A13" s="1">
        <f t="shared" si="0"/>
        <v>8</v>
      </c>
      <c r="B13" s="5" t="s">
        <v>41</v>
      </c>
      <c r="C13" s="62">
        <f>+HLOOKUP($C$6,$H$6:$AS$31,A13,FALSE)</f>
        <v>621.59086649847029</v>
      </c>
      <c r="D13" s="77">
        <f>+HLOOKUP($D$6,$H$6:$BK$29,A13,FALSE)</f>
        <v>537.41701073688523</v>
      </c>
      <c r="E13" s="63">
        <f t="shared" si="5"/>
        <v>-0.13541681562303365</v>
      </c>
      <c r="H13" s="5" t="s">
        <v>41</v>
      </c>
      <c r="I13" s="25">
        <v>218.96751644732302</v>
      </c>
      <c r="J13" s="25">
        <v>424.53248355267698</v>
      </c>
      <c r="K13" s="25">
        <v>147</v>
      </c>
      <c r="L13" s="30">
        <v>0</v>
      </c>
      <c r="M13" s="25">
        <v>327</v>
      </c>
      <c r="N13" s="25">
        <v>484</v>
      </c>
      <c r="O13" s="25">
        <v>455.71628899999996</v>
      </c>
      <c r="P13" s="25">
        <v>177.76116454564578</v>
      </c>
      <c r="Q13" s="25">
        <v>402.79276660438609</v>
      </c>
      <c r="R13" s="25">
        <v>512.70931975909969</v>
      </c>
      <c r="S13" s="30">
        <v>0</v>
      </c>
      <c r="T13" s="30">
        <v>0</v>
      </c>
      <c r="U13" s="25">
        <v>355.57419945754248</v>
      </c>
      <c r="V13" s="25">
        <v>476.44857716393153</v>
      </c>
      <c r="W13" s="25">
        <v>215.8</v>
      </c>
      <c r="X13" s="25">
        <v>345.10789999999997</v>
      </c>
      <c r="Y13" s="25">
        <v>524.51625259600632</v>
      </c>
      <c r="Z13" s="25">
        <v>517.42100000000005</v>
      </c>
      <c r="AA13" s="25">
        <v>114.16722837205532</v>
      </c>
      <c r="AB13" s="25">
        <v>156.47899999999998</v>
      </c>
      <c r="AC13" s="25">
        <v>679.59258450063749</v>
      </c>
      <c r="AD13" s="25">
        <v>565.63741879474242</v>
      </c>
      <c r="AE13" s="25">
        <v>31</v>
      </c>
      <c r="AF13" s="71">
        <v>0</v>
      </c>
      <c r="AG13" s="71">
        <v>399.97817196043991</v>
      </c>
      <c r="AH13" s="71">
        <v>500.52412506537814</v>
      </c>
      <c r="AI13" s="71">
        <v>789.41849508749317</v>
      </c>
      <c r="AJ13" s="71">
        <v>35.209573908457287</v>
      </c>
      <c r="AK13" s="71">
        <v>87.296860983128909</v>
      </c>
      <c r="AL13" s="71">
        <v>621.59086649847029</v>
      </c>
      <c r="AM13" s="71">
        <v>253.63679747067806</v>
      </c>
      <c r="AN13" s="71">
        <v>179.794145812848</v>
      </c>
      <c r="AO13" s="71">
        <v>237.54137668726958</v>
      </c>
      <c r="AP13" s="71">
        <v>537.41701073688523</v>
      </c>
    </row>
    <row r="14" spans="1:43" ht="5.25" customHeight="1">
      <c r="A14" s="1">
        <f t="shared" si="0"/>
        <v>9</v>
      </c>
      <c r="C14" s="66">
        <f>+HLOOKUP($C$6,$H$6:$AS$31,A14,FALSE)</f>
        <v>0</v>
      </c>
      <c r="D14" s="75">
        <f>+HLOOKUP($D$6,$H$6:$BK$29,A14,FALSE)</f>
        <v>0</v>
      </c>
      <c r="E14" s="59"/>
      <c r="I14" s="26"/>
      <c r="J14" s="26"/>
      <c r="K14" s="26"/>
      <c r="L14" s="26"/>
      <c r="M14" s="26"/>
      <c r="N14" s="26"/>
      <c r="O14" s="26"/>
      <c r="P14" s="26"/>
      <c r="Q14" s="26"/>
      <c r="R14" s="26"/>
      <c r="S14" s="26"/>
      <c r="T14" s="26"/>
      <c r="U14" s="26"/>
      <c r="V14" s="26"/>
      <c r="W14" s="26"/>
      <c r="X14" s="26"/>
      <c r="Y14" s="26"/>
      <c r="Z14" s="26"/>
      <c r="AA14" s="26"/>
      <c r="AB14" s="26"/>
      <c r="AC14" s="26"/>
      <c r="AD14" s="26"/>
      <c r="AE14" s="26"/>
    </row>
    <row r="15" spans="1:43">
      <c r="A15" s="1">
        <f t="shared" si="0"/>
        <v>10</v>
      </c>
      <c r="B15" s="5" t="s">
        <v>42</v>
      </c>
      <c r="C15" s="62">
        <f>+HLOOKUP($C$6,$H$6:$AS$31,A15,FALSE)</f>
        <v>1323.2185192444949</v>
      </c>
      <c r="D15" s="77">
        <f>+HLOOKUP($D$6,$H$6:$BK$29,A15,FALSE)</f>
        <v>1574.2243023797475</v>
      </c>
      <c r="E15" s="63">
        <f>+D15/C15-1</f>
        <v>0.1896933722470624</v>
      </c>
      <c r="H15" s="5" t="s">
        <v>42</v>
      </c>
      <c r="I15" s="25">
        <v>1750</v>
      </c>
      <c r="J15" s="25">
        <v>1676.5379</v>
      </c>
      <c r="K15" s="25">
        <v>1717</v>
      </c>
      <c r="L15" s="25">
        <v>1658.537353248</v>
      </c>
      <c r="M15" s="25">
        <v>1593</v>
      </c>
      <c r="N15" s="25">
        <v>1584.2553333333301</v>
      </c>
      <c r="O15" s="25">
        <v>1585</v>
      </c>
      <c r="P15" s="25">
        <v>1509.0192104540001</v>
      </c>
      <c r="Q15" s="25">
        <v>1516.2572692093333</v>
      </c>
      <c r="R15" s="25">
        <v>1586.312932267</v>
      </c>
      <c r="S15" s="25">
        <v>1611</v>
      </c>
      <c r="T15" s="25">
        <v>1605.0969330646667</v>
      </c>
      <c r="U15" s="25">
        <v>1608.011451372</v>
      </c>
      <c r="V15" s="25">
        <v>1580.915037662</v>
      </c>
      <c r="W15" s="25">
        <v>1615</v>
      </c>
      <c r="X15" s="25">
        <v>1629.6032617540002</v>
      </c>
      <c r="Y15" s="25">
        <v>1632.7914912306667</v>
      </c>
      <c r="Z15" s="25">
        <v>1609.7</v>
      </c>
      <c r="AA15" s="25">
        <v>1656.6028448940003</v>
      </c>
      <c r="AB15" s="25">
        <v>1663.0676706436664</v>
      </c>
      <c r="AC15" s="25">
        <v>1664</v>
      </c>
      <c r="AD15" s="25">
        <v>1574.1138055772778</v>
      </c>
      <c r="AE15" s="25">
        <v>1578.1126254887251</v>
      </c>
      <c r="AF15" s="25">
        <v>1558</v>
      </c>
      <c r="AG15" s="25">
        <v>1389.7428849012347</v>
      </c>
      <c r="AH15" s="25">
        <v>1439.5195898763534</v>
      </c>
      <c r="AI15" s="25">
        <v>1486.0694283366595</v>
      </c>
      <c r="AJ15" s="25">
        <v>1469.0334855196272</v>
      </c>
      <c r="AK15" s="25">
        <v>1323.0963587452404</v>
      </c>
      <c r="AL15" s="25">
        <v>1323.2185192444949</v>
      </c>
      <c r="AM15" s="25">
        <v>1321.7239555187668</v>
      </c>
      <c r="AN15" s="25">
        <v>1316.1900882999998</v>
      </c>
      <c r="AO15" s="25">
        <v>1516.5431818730519</v>
      </c>
      <c r="AP15" s="25">
        <v>1574.2243023797475</v>
      </c>
    </row>
    <row r="16" spans="1:43" ht="10.5" customHeight="1">
      <c r="A16" s="1">
        <f t="shared" si="0"/>
        <v>11</v>
      </c>
      <c r="C16" s="59"/>
      <c r="E16" s="59"/>
    </row>
    <row r="17" spans="1:52">
      <c r="A17" s="1">
        <f t="shared" si="0"/>
        <v>12</v>
      </c>
      <c r="B17" s="6" t="s">
        <v>43</v>
      </c>
      <c r="C17" s="60">
        <f>+HLOOKUP($C$6,$H$6:$AS$31,A17,FALSE)</f>
        <v>3178.2279143636388</v>
      </c>
      <c r="D17" s="76">
        <f>+HLOOKUP($D$6,$H$6:$BK$29,A17,FALSE)</f>
        <v>3602.631794530103</v>
      </c>
      <c r="E17" s="61">
        <f>D17/C17-1</f>
        <v>0.13353475320269492</v>
      </c>
      <c r="H17" s="6" t="s">
        <v>43</v>
      </c>
      <c r="I17" s="24">
        <f>+I19+I20+I24</f>
        <v>3267.9317000000001</v>
      </c>
      <c r="J17" s="24">
        <f t="shared" ref="J17:Y17" si="6">+J19+J20+J24</f>
        <v>3498.9682999999995</v>
      </c>
      <c r="K17" s="24">
        <f t="shared" si="6"/>
        <v>3240</v>
      </c>
      <c r="L17" s="24">
        <f t="shared" si="6"/>
        <v>2855.1034</v>
      </c>
      <c r="M17" s="24">
        <f t="shared" si="6"/>
        <v>3195.3278</v>
      </c>
      <c r="N17" s="24">
        <f t="shared" si="6"/>
        <v>3388.34238</v>
      </c>
      <c r="O17" s="24">
        <f t="shared" si="6"/>
        <v>3270.1603</v>
      </c>
      <c r="P17" s="24">
        <f t="shared" si="6"/>
        <v>2792.3428942799992</v>
      </c>
      <c r="Q17" s="24">
        <f t="shared" si="6"/>
        <v>3221.5743400000001</v>
      </c>
      <c r="R17" s="24">
        <f t="shared" si="6"/>
        <v>3312.9959699999995</v>
      </c>
      <c r="S17" s="24">
        <f t="shared" si="6"/>
        <v>2412</v>
      </c>
      <c r="T17" s="24">
        <f t="shared" si="6"/>
        <v>2329.3105321120001</v>
      </c>
      <c r="U17" s="24">
        <f>+U19+U20+U24</f>
        <v>3191.2302385571666</v>
      </c>
      <c r="V17" s="24">
        <f t="shared" si="6"/>
        <v>3386.4810116580002</v>
      </c>
      <c r="W17" s="24">
        <f t="shared" si="6"/>
        <v>3058.0208900000002</v>
      </c>
      <c r="X17" s="24">
        <f t="shared" si="6"/>
        <v>3079.87891455</v>
      </c>
      <c r="Y17" s="24">
        <f t="shared" si="6"/>
        <v>3455.3460179723684</v>
      </c>
      <c r="Z17" s="24">
        <f t="shared" ref="Z17:AD17" si="7">+Z19+Z20+Z24</f>
        <v>3514.8398608767438</v>
      </c>
      <c r="AA17" s="24">
        <f t="shared" si="7"/>
        <v>3026.0395302917295</v>
      </c>
      <c r="AB17" s="24">
        <f t="shared" si="7"/>
        <v>3009.206121845772</v>
      </c>
      <c r="AC17" s="24">
        <f t="shared" si="7"/>
        <v>3334.4824444330111</v>
      </c>
      <c r="AD17" s="24">
        <f t="shared" si="7"/>
        <v>3334.3651071043373</v>
      </c>
      <c r="AE17" s="24">
        <f t="shared" ref="AE17:AO17" si="8">+AE19+AE20+AE24</f>
        <v>2589.5097437221884</v>
      </c>
      <c r="AF17" s="24">
        <f t="shared" si="8"/>
        <v>2668.8125995100431</v>
      </c>
      <c r="AG17" s="24">
        <f t="shared" si="8"/>
        <v>2984.4361867917678</v>
      </c>
      <c r="AH17" s="24">
        <f t="shared" si="8"/>
        <v>3113.9792090261044</v>
      </c>
      <c r="AI17" s="24">
        <f t="shared" si="8"/>
        <v>3546.1705021388707</v>
      </c>
      <c r="AJ17" s="24">
        <f t="shared" si="8"/>
        <v>2458.4844822617697</v>
      </c>
      <c r="AK17" s="24">
        <f t="shared" si="8"/>
        <v>2427.5366890469759</v>
      </c>
      <c r="AL17" s="24">
        <f t="shared" si="8"/>
        <v>3178.2279143636388</v>
      </c>
      <c r="AM17" s="24">
        <f t="shared" si="8"/>
        <v>2848.5002574529099</v>
      </c>
      <c r="AN17" s="24">
        <f t="shared" si="8"/>
        <v>2527.9450362503558</v>
      </c>
      <c r="AO17" s="24">
        <f t="shared" si="8"/>
        <v>3250.2045634470992</v>
      </c>
      <c r="AP17" s="24">
        <v>3602.631794530103</v>
      </c>
      <c r="AU17" s="26"/>
      <c r="AV17" s="26"/>
      <c r="AW17" s="26"/>
      <c r="AX17" s="26"/>
      <c r="AY17" s="26"/>
      <c r="AZ17" s="93"/>
    </row>
    <row r="18" spans="1:52" ht="5.25" customHeight="1">
      <c r="A18" s="1">
        <f t="shared" si="0"/>
        <v>13</v>
      </c>
      <c r="C18" s="59"/>
      <c r="E18" s="59"/>
    </row>
    <row r="19" spans="1:52">
      <c r="A19" s="1">
        <f t="shared" si="0"/>
        <v>14</v>
      </c>
      <c r="B19" s="28" t="s">
        <v>44</v>
      </c>
      <c r="C19" s="65">
        <f t="shared" ref="C19:C29" si="9">+HLOOKUP($C$6,$H$6:$AS$31,A19,FALSE)</f>
        <v>1155.0339199999999</v>
      </c>
      <c r="D19" s="78">
        <f t="shared" ref="D19:D29" si="10">+HLOOKUP($D$6,$H$6:$BK$29,A19,FALSE)</f>
        <v>1001.4244000000001</v>
      </c>
      <c r="E19" s="67">
        <f>+D19/C19-1</f>
        <v>-0.13299134972590221</v>
      </c>
      <c r="H19" s="28" t="s">
        <v>44</v>
      </c>
      <c r="I19" s="29">
        <v>1108.7977000000001</v>
      </c>
      <c r="J19" s="29">
        <v>1620.9022999999997</v>
      </c>
      <c r="K19" s="29">
        <v>1816</v>
      </c>
      <c r="L19" s="29">
        <v>2109.0504000000001</v>
      </c>
      <c r="M19" s="29">
        <v>1097.7067999999999</v>
      </c>
      <c r="N19" s="29">
        <v>1357.50828</v>
      </c>
      <c r="O19" s="29">
        <v>1723.634</v>
      </c>
      <c r="P19" s="29">
        <v>2285.4995499999995</v>
      </c>
      <c r="Q19" s="29">
        <v>1287.5566399999998</v>
      </c>
      <c r="R19" s="29">
        <v>1338.0191999999997</v>
      </c>
      <c r="S19" s="29">
        <v>988</v>
      </c>
      <c r="T19" s="29">
        <v>1153.0769</v>
      </c>
      <c r="U19" s="29">
        <v>1089.2442348041668</v>
      </c>
      <c r="V19" s="29">
        <v>1248.1063999999999</v>
      </c>
      <c r="W19" s="29">
        <v>1403.1208899999999</v>
      </c>
      <c r="X19" s="29">
        <v>2156.30267</v>
      </c>
      <c r="Y19" s="29">
        <v>1409.2049400000001</v>
      </c>
      <c r="Z19" s="29">
        <v>1433.3703999999998</v>
      </c>
      <c r="AA19" s="29">
        <v>1348.5269000000001</v>
      </c>
      <c r="AB19" s="29">
        <v>2120.86</v>
      </c>
      <c r="AC19" s="29">
        <v>1194.2386000000001</v>
      </c>
      <c r="AD19" s="29">
        <v>1371.5127</v>
      </c>
      <c r="AE19" s="29">
        <v>1316.77403</v>
      </c>
      <c r="AF19" s="29">
        <v>1236.0530999999996</v>
      </c>
      <c r="AG19" s="29">
        <v>1119.644</v>
      </c>
      <c r="AH19" s="29">
        <v>981.54162999999994</v>
      </c>
      <c r="AI19" s="29">
        <v>1529.7404300000001</v>
      </c>
      <c r="AJ19" s="29">
        <v>1965.3616099999999</v>
      </c>
      <c r="AK19" s="29">
        <v>887.18420000000015</v>
      </c>
      <c r="AL19" s="29">
        <v>1155.0339199999999</v>
      </c>
      <c r="AM19" s="29">
        <v>899.10449999999992</v>
      </c>
      <c r="AN19" s="29">
        <v>963.90317000000005</v>
      </c>
      <c r="AO19" s="29">
        <v>804.20897000000002</v>
      </c>
      <c r="AP19" s="29">
        <v>1001.4244000000001</v>
      </c>
      <c r="AQ19" s="26"/>
    </row>
    <row r="20" spans="1:52">
      <c r="A20" s="1">
        <f t="shared" si="0"/>
        <v>15</v>
      </c>
      <c r="B20" s="28" t="s">
        <v>45</v>
      </c>
      <c r="C20" s="65">
        <f t="shared" si="9"/>
        <v>1997.664</v>
      </c>
      <c r="D20" s="78">
        <f t="shared" si="10"/>
        <v>2370.7759999999998</v>
      </c>
      <c r="E20" s="67">
        <f>+D20/C20-1</f>
        <v>0.186774152209781</v>
      </c>
      <c r="H20" s="28" t="s">
        <v>45</v>
      </c>
      <c r="I20" s="29">
        <f>SUM(I21:I23)</f>
        <v>2159.134</v>
      </c>
      <c r="J20" s="29">
        <f t="shared" ref="J20:Y20" si="11">SUM(J21:J23)</f>
        <v>1878.0659999999998</v>
      </c>
      <c r="K20" s="29">
        <f t="shared" si="11"/>
        <v>1424</v>
      </c>
      <c r="L20" s="29">
        <f t="shared" si="11"/>
        <v>719.053</v>
      </c>
      <c r="M20" s="29">
        <f t="shared" si="11"/>
        <v>2079.7550000000001</v>
      </c>
      <c r="N20" s="29">
        <f t="shared" si="11"/>
        <v>2003.309</v>
      </c>
      <c r="O20" s="29">
        <f t="shared" si="11"/>
        <v>1519.4349999999999</v>
      </c>
      <c r="P20" s="29">
        <f t="shared" si="11"/>
        <v>467.988</v>
      </c>
      <c r="Q20" s="29">
        <f t="shared" si="11"/>
        <v>1915.18</v>
      </c>
      <c r="R20" s="29">
        <f t="shared" si="11"/>
        <v>1956.502</v>
      </c>
      <c r="S20" s="29">
        <f t="shared" si="11"/>
        <v>1396</v>
      </c>
      <c r="T20" s="29">
        <f t="shared" si="11"/>
        <v>1146.3820000000001</v>
      </c>
      <c r="U20" s="29">
        <f t="shared" si="11"/>
        <v>2080.1379999999999</v>
      </c>
      <c r="V20" s="29">
        <f t="shared" si="11"/>
        <v>2109.0740000000001</v>
      </c>
      <c r="W20" s="29">
        <f t="shared" si="11"/>
        <v>1625.5</v>
      </c>
      <c r="X20" s="29">
        <f t="shared" si="11"/>
        <v>887.74</v>
      </c>
      <c r="Y20" s="29">
        <f t="shared" si="11"/>
        <v>2019.9259999999999</v>
      </c>
      <c r="Z20" s="29">
        <f t="shared" ref="Z20:AE20" si="12">SUM(Z21:Z23)</f>
        <v>2052.0571999999997</v>
      </c>
      <c r="AA20" s="29">
        <f t="shared" si="12"/>
        <v>1640.9929999999999</v>
      </c>
      <c r="AB20" s="29">
        <f t="shared" si="12"/>
        <v>844.64</v>
      </c>
      <c r="AC20" s="29">
        <f t="shared" si="12"/>
        <v>2113.667219685</v>
      </c>
      <c r="AD20" s="29">
        <f t="shared" si="12"/>
        <v>1902.7019399999999</v>
      </c>
      <c r="AE20" s="29">
        <f t="shared" si="12"/>
        <v>1164.2910000000002</v>
      </c>
      <c r="AF20" s="29">
        <f t="shared" ref="AF20:AL20" si="13">SUM(AF21:AF23)</f>
        <v>1327.2567999999999</v>
      </c>
      <c r="AG20" s="29">
        <f t="shared" si="13"/>
        <v>1838.4737999999998</v>
      </c>
      <c r="AH20" s="29">
        <f t="shared" si="13"/>
        <v>2108.0429999999997</v>
      </c>
      <c r="AI20" s="29">
        <f t="shared" si="13"/>
        <v>1977.8985600000001</v>
      </c>
      <c r="AJ20" s="29">
        <f t="shared" si="13"/>
        <v>450.48900000000003</v>
      </c>
      <c r="AK20" s="29">
        <f t="shared" si="13"/>
        <v>1512.6569999999999</v>
      </c>
      <c r="AL20" s="29">
        <f t="shared" si="13"/>
        <v>1997.664</v>
      </c>
      <c r="AM20" s="29">
        <f>SUM(AM21:AM23)</f>
        <v>1861.0379999999996</v>
      </c>
      <c r="AN20" s="29">
        <f>SUM(AN21:AN23)</f>
        <v>1409.5749999999998</v>
      </c>
      <c r="AO20" s="29">
        <f t="shared" ref="AO20:AP20" si="14">SUM(AO21:AO23)</f>
        <v>2194.5060000000003</v>
      </c>
      <c r="AP20" s="29">
        <f t="shared" si="14"/>
        <v>2370.7759999999998</v>
      </c>
    </row>
    <row r="21" spans="1:52">
      <c r="A21" s="1">
        <f t="shared" si="0"/>
        <v>16</v>
      </c>
      <c r="B21" s="5" t="s">
        <v>46</v>
      </c>
      <c r="C21" s="62">
        <f t="shared" si="9"/>
        <v>1206.932</v>
      </c>
      <c r="D21" s="77">
        <f t="shared" si="10"/>
        <v>1564.117</v>
      </c>
      <c r="E21" s="63">
        <f>+D21/C21-1</f>
        <v>0.29594459339879964</v>
      </c>
      <c r="H21" s="5" t="s">
        <v>46</v>
      </c>
      <c r="I21" s="25">
        <v>1357.1130000000001</v>
      </c>
      <c r="J21" s="25">
        <v>929.08699999999976</v>
      </c>
      <c r="K21" s="25">
        <v>536</v>
      </c>
      <c r="L21" s="25">
        <v>188.97200000000001</v>
      </c>
      <c r="M21" s="25">
        <v>1146.7660000000001</v>
      </c>
      <c r="N21" s="25">
        <v>1201.8629999999998</v>
      </c>
      <c r="O21" s="25">
        <v>868.34900000000005</v>
      </c>
      <c r="P21" s="25">
        <v>204.482</v>
      </c>
      <c r="Q21" s="25">
        <v>1212.1610000000001</v>
      </c>
      <c r="R21" s="25">
        <v>1027.8029999999999</v>
      </c>
      <c r="S21" s="25">
        <v>559</v>
      </c>
      <c r="T21" s="25">
        <v>795.11400000000003</v>
      </c>
      <c r="U21" s="25">
        <v>1300.9190000000001</v>
      </c>
      <c r="V21" s="25">
        <v>1248.1420000000001</v>
      </c>
      <c r="W21" s="25">
        <v>846.3</v>
      </c>
      <c r="X21" s="25">
        <v>495.12900000000002</v>
      </c>
      <c r="Y21" s="25">
        <v>1268.5309999999999</v>
      </c>
      <c r="Z21" s="25">
        <v>1341.1381999999999</v>
      </c>
      <c r="AA21" s="25">
        <v>914.07899999999995</v>
      </c>
      <c r="AB21" s="25">
        <v>335.71</v>
      </c>
      <c r="AC21" s="25">
        <v>1362.9110000000001</v>
      </c>
      <c r="AD21" s="25">
        <v>1199.1079999999999</v>
      </c>
      <c r="AE21" s="25">
        <v>965.79200000000014</v>
      </c>
      <c r="AF21" s="25">
        <v>979.50349999999992</v>
      </c>
      <c r="AG21" s="25">
        <v>1190.3717999999999</v>
      </c>
      <c r="AH21" s="25">
        <v>1425.2629999999999</v>
      </c>
      <c r="AI21" s="25">
        <v>1429.42956</v>
      </c>
      <c r="AJ21" s="25">
        <v>62.475000000000001</v>
      </c>
      <c r="AK21" s="25">
        <v>722.05399999999997</v>
      </c>
      <c r="AL21" s="25">
        <v>1206.932</v>
      </c>
      <c r="AM21" s="25">
        <v>1039.9879999999998</v>
      </c>
      <c r="AN21" s="25">
        <v>997.404</v>
      </c>
      <c r="AO21" s="25">
        <v>1526.4650000000001</v>
      </c>
      <c r="AP21" s="25">
        <v>1564.117</v>
      </c>
      <c r="AQ21" s="26"/>
    </row>
    <row r="22" spans="1:52">
      <c r="A22" s="1">
        <f t="shared" si="0"/>
        <v>17</v>
      </c>
      <c r="B22" s="5" t="s">
        <v>47</v>
      </c>
      <c r="C22" s="62">
        <f t="shared" si="9"/>
        <v>45.290000000000006</v>
      </c>
      <c r="D22" s="77">
        <f t="shared" si="10"/>
        <v>153.40800000000002</v>
      </c>
      <c r="E22" s="63">
        <f t="shared" ref="E22:E25" si="15">+D22/C22-1</f>
        <v>2.3872378008390371</v>
      </c>
      <c r="H22" s="5" t="s">
        <v>47</v>
      </c>
      <c r="I22" s="25">
        <v>96.025000000000006</v>
      </c>
      <c r="J22" s="25">
        <v>231.07500000000002</v>
      </c>
      <c r="K22" s="25">
        <v>216</v>
      </c>
      <c r="L22" s="25">
        <v>2.7489999999999997</v>
      </c>
      <c r="M22" s="25">
        <v>141.345</v>
      </c>
      <c r="N22" s="25">
        <v>101.99799999999999</v>
      </c>
      <c r="O22" s="25">
        <v>0.33800000000000002</v>
      </c>
      <c r="P22" s="25">
        <v>0.50900000000000001</v>
      </c>
      <c r="Q22" s="25">
        <v>3.5060000000000002</v>
      </c>
      <c r="R22" s="25">
        <v>204.721</v>
      </c>
      <c r="S22" s="25">
        <v>94</v>
      </c>
      <c r="T22" s="25">
        <v>12.699</v>
      </c>
      <c r="U22" s="25">
        <v>43.264000000000003</v>
      </c>
      <c r="V22" s="25">
        <v>122.758</v>
      </c>
      <c r="W22" s="25">
        <v>32.299999999999997</v>
      </c>
      <c r="X22" s="25">
        <v>7.6610000000000005</v>
      </c>
      <c r="Y22" s="25">
        <v>14.943999999999999</v>
      </c>
      <c r="Z22" s="25">
        <v>28.54</v>
      </c>
      <c r="AA22" s="25">
        <v>21.773</v>
      </c>
      <c r="AB22" s="25">
        <v>13.209999999999999</v>
      </c>
      <c r="AC22" s="25">
        <v>51.590219684999994</v>
      </c>
      <c r="AD22" s="25">
        <v>12.888939999999998</v>
      </c>
      <c r="AE22" s="25">
        <v>5.3000000000000005E-2</v>
      </c>
      <c r="AF22" s="25">
        <v>2.0883000000000003</v>
      </c>
      <c r="AG22" s="25">
        <v>31.466000000000001</v>
      </c>
      <c r="AH22" s="25">
        <v>31.5</v>
      </c>
      <c r="AI22" s="25">
        <v>3.4470000000000001</v>
      </c>
      <c r="AJ22" s="25">
        <v>5.99</v>
      </c>
      <c r="AK22" s="25">
        <v>118.843</v>
      </c>
      <c r="AL22" s="25">
        <v>45.290000000000006</v>
      </c>
      <c r="AM22" s="25">
        <v>101.78299999999999</v>
      </c>
      <c r="AN22" s="25">
        <v>28.376999999999999</v>
      </c>
      <c r="AO22" s="25">
        <v>29.93</v>
      </c>
      <c r="AP22" s="25">
        <v>153.40800000000002</v>
      </c>
      <c r="AQ22" s="26"/>
    </row>
    <row r="23" spans="1:52">
      <c r="A23" s="1">
        <f t="shared" si="0"/>
        <v>18</v>
      </c>
      <c r="B23" s="5" t="s">
        <v>48</v>
      </c>
      <c r="C23" s="62">
        <f t="shared" si="9"/>
        <v>745.44200000000001</v>
      </c>
      <c r="D23" s="77">
        <f t="shared" si="10"/>
        <v>653.25099999999998</v>
      </c>
      <c r="E23" s="63">
        <f t="shared" si="15"/>
        <v>-0.12367293498354004</v>
      </c>
      <c r="H23" s="5" t="s">
        <v>48</v>
      </c>
      <c r="I23" s="25">
        <v>705.99599999999998</v>
      </c>
      <c r="J23" s="25">
        <v>717.90400000000011</v>
      </c>
      <c r="K23" s="25">
        <v>672</v>
      </c>
      <c r="L23" s="25">
        <v>527.33199999999999</v>
      </c>
      <c r="M23" s="25">
        <v>791.64400000000001</v>
      </c>
      <c r="N23" s="25">
        <v>699.44800000000009</v>
      </c>
      <c r="O23" s="25">
        <v>650.74800000000005</v>
      </c>
      <c r="P23" s="25">
        <v>262.99700000000001</v>
      </c>
      <c r="Q23" s="25">
        <v>699.51299999999992</v>
      </c>
      <c r="R23" s="25">
        <v>723.97800000000007</v>
      </c>
      <c r="S23" s="25">
        <v>743</v>
      </c>
      <c r="T23" s="25">
        <v>338.56899999999996</v>
      </c>
      <c r="U23" s="25">
        <v>735.95499999999993</v>
      </c>
      <c r="V23" s="25">
        <v>738.17399999999998</v>
      </c>
      <c r="W23" s="25">
        <v>746.9</v>
      </c>
      <c r="X23" s="25">
        <v>384.94999999999993</v>
      </c>
      <c r="Y23" s="25">
        <v>736.45100000000002</v>
      </c>
      <c r="Z23" s="25">
        <v>682.37900000000002</v>
      </c>
      <c r="AA23" s="25">
        <v>705.14099999999996</v>
      </c>
      <c r="AB23" s="25">
        <v>495.72</v>
      </c>
      <c r="AC23" s="25">
        <v>699.16600000000005</v>
      </c>
      <c r="AD23" s="25">
        <v>690.70500000000004</v>
      </c>
      <c r="AE23" s="25">
        <v>198.446</v>
      </c>
      <c r="AF23" s="25">
        <v>345.66499999999996</v>
      </c>
      <c r="AG23" s="25">
        <v>616.63599999999997</v>
      </c>
      <c r="AH23" s="25">
        <v>651.28</v>
      </c>
      <c r="AI23" s="25">
        <v>545.02200000000005</v>
      </c>
      <c r="AJ23" s="25">
        <v>382.024</v>
      </c>
      <c r="AK23" s="25">
        <v>671.76</v>
      </c>
      <c r="AL23" s="25">
        <v>745.44200000000001</v>
      </c>
      <c r="AM23" s="25">
        <v>719.26699999999994</v>
      </c>
      <c r="AN23" s="25">
        <v>383.79399999999998</v>
      </c>
      <c r="AO23" s="25">
        <v>638.1110000000001</v>
      </c>
      <c r="AP23" s="25">
        <v>653.25099999999998</v>
      </c>
      <c r="AQ23" s="26"/>
    </row>
    <row r="24" spans="1:52">
      <c r="A24" s="1">
        <f t="shared" si="0"/>
        <v>19</v>
      </c>
      <c r="B24" s="28" t="s">
        <v>49</v>
      </c>
      <c r="C24" s="65">
        <f t="shared" si="9"/>
        <v>25.529994363639318</v>
      </c>
      <c r="D24" s="78">
        <f t="shared" si="10"/>
        <v>230.43139453010329</v>
      </c>
      <c r="E24" s="67" t="s">
        <v>50</v>
      </c>
      <c r="H24" s="28" t="s">
        <v>51</v>
      </c>
      <c r="I24" s="31">
        <f>SUM(I25:I26)</f>
        <v>0</v>
      </c>
      <c r="J24" s="31">
        <f t="shared" ref="J24:Y24" si="16">SUM(J25:J26)</f>
        <v>0</v>
      </c>
      <c r="K24" s="31">
        <f t="shared" si="16"/>
        <v>0</v>
      </c>
      <c r="L24" s="29">
        <f t="shared" si="16"/>
        <v>27</v>
      </c>
      <c r="M24" s="29">
        <f t="shared" si="16"/>
        <v>17.866000000000003</v>
      </c>
      <c r="N24" s="29">
        <f t="shared" si="16"/>
        <v>27.525100000000002</v>
      </c>
      <c r="O24" s="29">
        <f t="shared" si="16"/>
        <v>27.0913</v>
      </c>
      <c r="P24" s="29">
        <f t="shared" si="16"/>
        <v>38.855344280000011</v>
      </c>
      <c r="Q24" s="29">
        <f t="shared" si="16"/>
        <v>18.837700000000002</v>
      </c>
      <c r="R24" s="29">
        <f t="shared" si="16"/>
        <v>18.474769999999999</v>
      </c>
      <c r="S24" s="29">
        <f t="shared" si="16"/>
        <v>28</v>
      </c>
      <c r="T24" s="29">
        <f t="shared" si="16"/>
        <v>29.851632112000004</v>
      </c>
      <c r="U24" s="29">
        <f t="shared" si="16"/>
        <v>21.848003753000004</v>
      </c>
      <c r="V24" s="29">
        <f t="shared" si="16"/>
        <v>29.300611658000001</v>
      </c>
      <c r="W24" s="29">
        <f t="shared" si="16"/>
        <v>29.4</v>
      </c>
      <c r="X24" s="29">
        <f t="shared" si="16"/>
        <v>35.836244550000004</v>
      </c>
      <c r="Y24" s="29">
        <f t="shared" si="16"/>
        <v>26.215077972368299</v>
      </c>
      <c r="Z24" s="29">
        <f t="shared" ref="Z24" si="17">SUM(Z25:Z26)</f>
        <v>29.41226087674421</v>
      </c>
      <c r="AA24" s="29">
        <f t="shared" ref="AA24:AJ24" si="18">SUM(AA25:AA26)</f>
        <v>36.519630291729221</v>
      </c>
      <c r="AB24" s="29">
        <f t="shared" si="18"/>
        <v>43.706121845772216</v>
      </c>
      <c r="AC24" s="29">
        <f t="shared" si="18"/>
        <v>26.576624748011</v>
      </c>
      <c r="AD24" s="29">
        <f t="shared" si="18"/>
        <v>60.150467104336997</v>
      </c>
      <c r="AE24" s="29">
        <f t="shared" si="18"/>
        <v>108.44471372218833</v>
      </c>
      <c r="AF24" s="29">
        <f t="shared" si="18"/>
        <v>105.50269951004388</v>
      </c>
      <c r="AG24" s="29">
        <f t="shared" si="18"/>
        <v>26.318386791767686</v>
      </c>
      <c r="AH24" s="29">
        <f t="shared" si="18"/>
        <v>24.394579026104999</v>
      </c>
      <c r="AI24" s="29">
        <f t="shared" si="18"/>
        <v>38.531512138870092</v>
      </c>
      <c r="AJ24" s="29">
        <f t="shared" si="18"/>
        <v>42.633872261769937</v>
      </c>
      <c r="AK24" s="29">
        <f>SUM(AK25:AK26)</f>
        <v>27.695489046976014</v>
      </c>
      <c r="AL24" s="29">
        <f>SUM(AL25:AL26)</f>
        <v>25.529994363639318</v>
      </c>
      <c r="AM24" s="29">
        <f>SUM(AM25:AM26)</f>
        <v>88.357757452910207</v>
      </c>
      <c r="AN24" s="29">
        <f>+SUM(AN25:AN26)</f>
        <v>154.46686625035608</v>
      </c>
      <c r="AO24" s="29">
        <f>SUM(AO25:AO26)</f>
        <v>251.48959344709863</v>
      </c>
      <c r="AP24" s="29">
        <f>SUM(AP25:AP26)</f>
        <v>230.43139453010329</v>
      </c>
      <c r="AQ24" s="26"/>
    </row>
    <row r="25" spans="1:52">
      <c r="A25" s="1">
        <f t="shared" si="0"/>
        <v>20</v>
      </c>
      <c r="B25" s="5" t="s">
        <v>52</v>
      </c>
      <c r="C25" s="25">
        <f t="shared" si="9"/>
        <v>22.435517000000015</v>
      </c>
      <c r="D25" s="77">
        <f t="shared" si="10"/>
        <v>121.25425000000001</v>
      </c>
      <c r="E25" s="63">
        <f t="shared" si="15"/>
        <v>4.4045667857798838</v>
      </c>
      <c r="H25" s="5" t="s">
        <v>53</v>
      </c>
      <c r="I25" s="30">
        <v>0</v>
      </c>
      <c r="J25" s="30">
        <v>0</v>
      </c>
      <c r="K25" s="30">
        <v>0</v>
      </c>
      <c r="L25" s="25">
        <v>27</v>
      </c>
      <c r="M25" s="25">
        <v>17.866000000000003</v>
      </c>
      <c r="N25" s="25">
        <v>27.525100000000002</v>
      </c>
      <c r="O25" s="25">
        <v>27.0913</v>
      </c>
      <c r="P25" s="25">
        <v>38.855344280000011</v>
      </c>
      <c r="Q25" s="25">
        <v>18.837700000000002</v>
      </c>
      <c r="R25" s="25">
        <v>18.474769999999999</v>
      </c>
      <c r="S25" s="25">
        <v>28</v>
      </c>
      <c r="T25" s="25">
        <v>29.851632112000004</v>
      </c>
      <c r="U25" s="25">
        <v>21.848003753000004</v>
      </c>
      <c r="V25" s="25">
        <v>29.300611658000001</v>
      </c>
      <c r="W25" s="25">
        <v>29.4</v>
      </c>
      <c r="X25" s="25">
        <v>35.836244550000004</v>
      </c>
      <c r="Y25" s="25">
        <v>25.603801381104297</v>
      </c>
      <c r="Z25" s="25">
        <v>26.332554626443208</v>
      </c>
      <c r="AA25" s="25">
        <v>33.033485733932224</v>
      </c>
      <c r="AB25" s="25">
        <v>36.79612184577222</v>
      </c>
      <c r="AC25" s="25">
        <v>20.165046798408</v>
      </c>
      <c r="AD25" s="25">
        <v>57.085455013663996</v>
      </c>
      <c r="AE25" s="25">
        <v>104.68628249675183</v>
      </c>
      <c r="AF25" s="25">
        <v>98.468849971651082</v>
      </c>
      <c r="AG25" s="30">
        <v>19.689539782499988</v>
      </c>
      <c r="AH25" s="25">
        <v>21.309542624999999</v>
      </c>
      <c r="AI25" s="25">
        <v>34.433420699999992</v>
      </c>
      <c r="AJ25" s="25">
        <v>35.235859575000035</v>
      </c>
      <c r="AK25" s="30">
        <v>21.419570000000014</v>
      </c>
      <c r="AL25" s="30">
        <v>22.435517000000015</v>
      </c>
      <c r="AM25" s="30">
        <v>62.260457452910202</v>
      </c>
      <c r="AN25" s="30">
        <v>29.48584000000001</v>
      </c>
      <c r="AO25" s="30">
        <v>33.298859999999976</v>
      </c>
      <c r="AP25" s="30">
        <v>121.25425000000001</v>
      </c>
      <c r="AQ25" s="55"/>
    </row>
    <row r="26" spans="1:52">
      <c r="A26" s="1">
        <f t="shared" si="0"/>
        <v>21</v>
      </c>
      <c r="B26" s="5" t="s">
        <v>54</v>
      </c>
      <c r="C26" s="25">
        <f t="shared" si="9"/>
        <v>3.0944773636393013</v>
      </c>
      <c r="D26" s="77">
        <f t="shared" si="10"/>
        <v>109.17714453010328</v>
      </c>
      <c r="E26" s="63" t="s">
        <v>50</v>
      </c>
      <c r="H26" s="5" t="s">
        <v>54</v>
      </c>
      <c r="I26" s="30">
        <v>0</v>
      </c>
      <c r="J26" s="30">
        <v>0</v>
      </c>
      <c r="K26" s="30">
        <v>0</v>
      </c>
      <c r="L26" s="30">
        <v>0</v>
      </c>
      <c r="M26" s="30">
        <v>0</v>
      </c>
      <c r="N26" s="30">
        <v>0</v>
      </c>
      <c r="O26" s="30">
        <v>0</v>
      </c>
      <c r="P26" s="30">
        <v>0</v>
      </c>
      <c r="Q26" s="30">
        <v>0</v>
      </c>
      <c r="R26" s="30">
        <v>0</v>
      </c>
      <c r="S26" s="30">
        <v>0</v>
      </c>
      <c r="T26" s="30">
        <v>0</v>
      </c>
      <c r="U26" s="30">
        <v>0</v>
      </c>
      <c r="V26" s="30">
        <v>0</v>
      </c>
      <c r="W26" s="30">
        <v>0</v>
      </c>
      <c r="X26" s="30">
        <v>0</v>
      </c>
      <c r="Y26" s="30">
        <v>0.61127659126400002</v>
      </c>
      <c r="Z26" s="30">
        <v>3.0797062503010002</v>
      </c>
      <c r="AA26" s="30">
        <v>3.4861445577970001</v>
      </c>
      <c r="AB26" s="30">
        <v>6.91</v>
      </c>
      <c r="AC26" s="30">
        <v>6.4115779496030001</v>
      </c>
      <c r="AD26" s="30">
        <v>3.0650120906730001</v>
      </c>
      <c r="AE26" s="30">
        <v>3.7584312254364995</v>
      </c>
      <c r="AF26" s="25">
        <v>7.0338495383928006</v>
      </c>
      <c r="AG26" s="30">
        <v>6.6288470092676999</v>
      </c>
      <c r="AH26" s="30">
        <v>3.085036401105</v>
      </c>
      <c r="AI26" s="30">
        <v>4.0980914388700995</v>
      </c>
      <c r="AJ26" s="30">
        <v>7.398012686769901</v>
      </c>
      <c r="AK26" s="30">
        <v>6.2759190469760009</v>
      </c>
      <c r="AL26" s="30">
        <v>3.0944773636393013</v>
      </c>
      <c r="AM26" s="30">
        <v>26.097300000000004</v>
      </c>
      <c r="AN26" s="30">
        <v>124.98102625035605</v>
      </c>
      <c r="AO26" s="30">
        <v>218.19073344709864</v>
      </c>
      <c r="AP26" s="30">
        <v>109.17714453010328</v>
      </c>
    </row>
    <row r="27" spans="1:52">
      <c r="A27" s="1">
        <f t="shared" si="0"/>
        <v>22</v>
      </c>
      <c r="B27" s="28" t="s">
        <v>55</v>
      </c>
      <c r="C27" s="58">
        <f t="shared" si="9"/>
        <v>0</v>
      </c>
      <c r="D27" s="78">
        <f t="shared" si="10"/>
        <v>0</v>
      </c>
      <c r="E27" s="84" t="s">
        <v>50</v>
      </c>
      <c r="H27" s="28" t="s">
        <v>55</v>
      </c>
      <c r="I27" s="30">
        <v>0</v>
      </c>
      <c r="J27" s="30">
        <v>0</v>
      </c>
      <c r="K27" s="29">
        <v>23.8</v>
      </c>
      <c r="L27" s="29">
        <v>119.8</v>
      </c>
      <c r="M27" s="30">
        <v>0</v>
      </c>
      <c r="N27" s="30">
        <v>0</v>
      </c>
      <c r="O27" s="30">
        <v>0</v>
      </c>
      <c r="P27" s="29">
        <v>124</v>
      </c>
      <c r="Q27" s="30">
        <v>0</v>
      </c>
      <c r="R27" s="30">
        <v>0</v>
      </c>
      <c r="S27" s="29">
        <v>433</v>
      </c>
      <c r="T27" s="29">
        <v>490</v>
      </c>
      <c r="U27" s="30">
        <v>0</v>
      </c>
      <c r="V27" s="30">
        <v>0</v>
      </c>
      <c r="W27" s="29">
        <v>52.114804692825103</v>
      </c>
      <c r="X27" s="31">
        <v>0</v>
      </c>
      <c r="Y27" s="31">
        <v>0</v>
      </c>
      <c r="Z27" s="31">
        <v>0</v>
      </c>
      <c r="AA27" s="31">
        <v>65.028804890240636</v>
      </c>
      <c r="AB27" s="31">
        <v>29.296061395493101</v>
      </c>
      <c r="AC27" s="31">
        <v>0</v>
      </c>
      <c r="AD27" s="31">
        <v>0</v>
      </c>
      <c r="AE27" s="31">
        <v>369</v>
      </c>
      <c r="AF27" s="31">
        <v>102.91959303165353</v>
      </c>
      <c r="AG27" s="31">
        <v>0</v>
      </c>
      <c r="AH27" s="31">
        <v>0</v>
      </c>
      <c r="AI27" s="31">
        <v>0</v>
      </c>
      <c r="AJ27" s="31">
        <v>269.7378305259823</v>
      </c>
      <c r="AK27" s="31">
        <v>180.38096507499472</v>
      </c>
      <c r="AL27" s="31">
        <v>0</v>
      </c>
      <c r="AM27" s="31">
        <v>0</v>
      </c>
      <c r="AN27" s="31">
        <v>105.3</v>
      </c>
      <c r="AO27" s="31">
        <v>0</v>
      </c>
      <c r="AP27" s="31">
        <v>0</v>
      </c>
    </row>
    <row r="28" spans="1:52" ht="5.25" customHeight="1">
      <c r="A28" s="1">
        <f t="shared" si="0"/>
        <v>23</v>
      </c>
      <c r="C28" s="66">
        <f t="shared" si="9"/>
        <v>0</v>
      </c>
      <c r="E28" s="59"/>
      <c r="I28" s="26"/>
      <c r="J28" s="26"/>
      <c r="K28" s="26"/>
      <c r="L28" s="26"/>
      <c r="M28" s="26"/>
      <c r="N28" s="26"/>
      <c r="O28" s="26"/>
      <c r="P28" s="26"/>
      <c r="Q28" s="26"/>
      <c r="R28" s="26"/>
      <c r="S28" s="26"/>
      <c r="T28" s="26"/>
      <c r="U28" s="26"/>
      <c r="V28" s="26"/>
      <c r="W28" s="26"/>
      <c r="X28" s="26"/>
      <c r="Y28" s="26"/>
      <c r="Z28" s="26"/>
      <c r="AA28" s="26"/>
      <c r="AB28" s="26"/>
      <c r="AC28" s="26"/>
      <c r="AD28" s="26"/>
      <c r="AE28" s="26"/>
      <c r="AF28" s="26"/>
      <c r="AG28" s="26"/>
      <c r="AH28" s="26"/>
      <c r="AI28" s="26"/>
      <c r="AJ28" s="26"/>
      <c r="AK28" s="26"/>
      <c r="AL28" s="26"/>
      <c r="AM28" s="26"/>
      <c r="AN28" s="26"/>
      <c r="AO28" s="26"/>
    </row>
    <row r="29" spans="1:52">
      <c r="A29" s="1">
        <f t="shared" si="0"/>
        <v>24</v>
      </c>
      <c r="B29" s="20" t="s">
        <v>56</v>
      </c>
      <c r="C29" s="68">
        <f t="shared" si="9"/>
        <v>621.59086649847029</v>
      </c>
      <c r="D29" s="79">
        <f t="shared" si="10"/>
        <v>537.41701073688523</v>
      </c>
      <c r="E29" s="69" t="s">
        <v>50</v>
      </c>
      <c r="H29" s="20" t="s">
        <v>56</v>
      </c>
      <c r="I29" s="27">
        <f>I13-I27</f>
        <v>218.96751644732302</v>
      </c>
      <c r="J29" s="27">
        <f t="shared" ref="J29:W29" si="19">J13-J27</f>
        <v>424.53248355267698</v>
      </c>
      <c r="K29" s="27">
        <f t="shared" si="19"/>
        <v>123.2</v>
      </c>
      <c r="L29" s="27">
        <f t="shared" si="19"/>
        <v>-119.8</v>
      </c>
      <c r="M29" s="27">
        <f t="shared" si="19"/>
        <v>327</v>
      </c>
      <c r="N29" s="27">
        <f t="shared" si="19"/>
        <v>484</v>
      </c>
      <c r="O29" s="27">
        <f t="shared" si="19"/>
        <v>455.71628899999996</v>
      </c>
      <c r="P29" s="27">
        <f t="shared" si="19"/>
        <v>53.761164545645784</v>
      </c>
      <c r="Q29" s="27">
        <f t="shared" si="19"/>
        <v>402.79276660438609</v>
      </c>
      <c r="R29" s="27">
        <f t="shared" si="19"/>
        <v>512.70931975909969</v>
      </c>
      <c r="S29" s="27">
        <f t="shared" si="19"/>
        <v>-433</v>
      </c>
      <c r="T29" s="27">
        <f t="shared" si="19"/>
        <v>-490</v>
      </c>
      <c r="U29" s="27">
        <f>U13-U27</f>
        <v>355.57419945754248</v>
      </c>
      <c r="V29" s="27">
        <f t="shared" si="19"/>
        <v>476.44857716393153</v>
      </c>
      <c r="W29" s="27">
        <f t="shared" si="19"/>
        <v>163.68519530717492</v>
      </c>
      <c r="X29" s="27">
        <f t="shared" ref="X29:Y29" si="20">X13-X27</f>
        <v>345.10789999999997</v>
      </c>
      <c r="Y29" s="27">
        <f t="shared" si="20"/>
        <v>524.51625259600632</v>
      </c>
      <c r="Z29" s="27">
        <f>Z13-Z27</f>
        <v>517.42100000000005</v>
      </c>
      <c r="AA29" s="27">
        <f>AA13-AA27</f>
        <v>49.138423481814684</v>
      </c>
      <c r="AB29" s="27">
        <f t="shared" ref="AB29:AE29" si="21">AB13-AB27</f>
        <v>127.18293860450689</v>
      </c>
      <c r="AC29" s="27">
        <f t="shared" si="21"/>
        <v>679.59258450063749</v>
      </c>
      <c r="AD29" s="27">
        <f t="shared" si="21"/>
        <v>565.63741879474242</v>
      </c>
      <c r="AE29" s="27">
        <f t="shared" si="21"/>
        <v>-338</v>
      </c>
      <c r="AF29" s="27">
        <f t="shared" ref="AF29:AL29" si="22">AF13-AF27</f>
        <v>-102.91959303165353</v>
      </c>
      <c r="AG29" s="27">
        <f t="shared" si="22"/>
        <v>399.97817196043991</v>
      </c>
      <c r="AH29" s="27">
        <f t="shared" si="22"/>
        <v>500.52412506537814</v>
      </c>
      <c r="AI29" s="27">
        <f t="shared" si="22"/>
        <v>789.41849508749317</v>
      </c>
      <c r="AJ29" s="27">
        <f t="shared" si="22"/>
        <v>-234.52825661752502</v>
      </c>
      <c r="AK29" s="27">
        <f t="shared" si="22"/>
        <v>-93.084104091865811</v>
      </c>
      <c r="AL29" s="27">
        <f t="shared" si="22"/>
        <v>621.59086649847029</v>
      </c>
      <c r="AM29" s="27">
        <f>AM13-AM27</f>
        <v>253.63679747067806</v>
      </c>
      <c r="AN29" s="27">
        <f>AN13-AN27</f>
        <v>74.494145812848004</v>
      </c>
      <c r="AO29" s="27">
        <f t="shared" ref="AO29:AP29" si="23">AO13-AO27</f>
        <v>237.54137668726958</v>
      </c>
      <c r="AP29" s="27">
        <f t="shared" si="23"/>
        <v>537.41701073688523</v>
      </c>
    </row>
    <row r="30" spans="1:52">
      <c r="C30" s="59"/>
      <c r="E30" s="59"/>
    </row>
    <row r="34" spans="1:42" ht="23.25">
      <c r="B34" s="12" t="s">
        <v>57</v>
      </c>
      <c r="C34" s="13"/>
      <c r="D34" s="74"/>
      <c r="E34" s="13"/>
      <c r="H34" s="12" t="s">
        <v>57</v>
      </c>
      <c r="I34" s="13"/>
      <c r="J34" s="13"/>
      <c r="K34" s="13"/>
      <c r="L34" s="13"/>
      <c r="M34" s="13"/>
      <c r="N34" s="13"/>
      <c r="O34" s="13"/>
      <c r="P34" s="13"/>
      <c r="Q34" s="13"/>
      <c r="R34" s="13"/>
      <c r="S34" s="13"/>
      <c r="T34" s="13"/>
      <c r="U34" s="13"/>
      <c r="V34" s="13"/>
      <c r="W34" s="13"/>
      <c r="X34" s="13"/>
      <c r="Y34" s="13"/>
      <c r="Z34" s="13"/>
      <c r="AA34" s="13"/>
      <c r="AB34" s="13"/>
      <c r="AC34" s="13"/>
      <c r="AD34" s="13"/>
      <c r="AE34" s="13"/>
      <c r="AF34" s="13"/>
      <c r="AG34" s="13"/>
      <c r="AH34" s="13"/>
      <c r="AI34" s="13"/>
      <c r="AJ34" s="13"/>
      <c r="AK34" s="13"/>
      <c r="AL34" s="13"/>
      <c r="AM34" s="13"/>
      <c r="AN34" s="13"/>
      <c r="AO34" s="13"/>
    </row>
    <row r="36" spans="1:42">
      <c r="A36" s="1">
        <v>1</v>
      </c>
      <c r="B36" s="3" t="s">
        <v>1</v>
      </c>
      <c r="C36" s="117" t="s">
        <v>34</v>
      </c>
      <c r="D36" s="118" t="s">
        <v>148</v>
      </c>
      <c r="E36" s="117" t="s">
        <v>4</v>
      </c>
      <c r="H36" s="3" t="s">
        <v>5</v>
      </c>
      <c r="I36" s="117" t="s">
        <v>6</v>
      </c>
      <c r="J36" s="117" t="s">
        <v>7</v>
      </c>
      <c r="K36" s="117" t="s">
        <v>8</v>
      </c>
      <c r="L36" s="117" t="s">
        <v>9</v>
      </c>
      <c r="M36" s="117" t="s">
        <v>10</v>
      </c>
      <c r="N36" s="117" t="s">
        <v>11</v>
      </c>
      <c r="O36" s="117" t="s">
        <v>12</v>
      </c>
      <c r="P36" s="117" t="s">
        <v>13</v>
      </c>
      <c r="Q36" s="117" t="s">
        <v>14</v>
      </c>
      <c r="R36" s="117" t="s">
        <v>15</v>
      </c>
      <c r="S36" s="117" t="s">
        <v>16</v>
      </c>
      <c r="T36" s="117" t="s">
        <v>17</v>
      </c>
      <c r="U36" s="117" t="s">
        <v>18</v>
      </c>
      <c r="V36" s="117" t="s">
        <v>19</v>
      </c>
      <c r="W36" s="117" t="s">
        <v>20</v>
      </c>
      <c r="X36" s="117" t="s">
        <v>21</v>
      </c>
      <c r="Y36" s="117" t="s">
        <v>22</v>
      </c>
      <c r="Z36" s="117" t="s">
        <v>23</v>
      </c>
      <c r="AA36" s="117" t="s">
        <v>24</v>
      </c>
      <c r="AB36" s="117" t="s">
        <v>25</v>
      </c>
      <c r="AC36" s="117" t="s">
        <v>26</v>
      </c>
      <c r="AD36" s="117" t="s">
        <v>27</v>
      </c>
      <c r="AE36" s="117" t="s">
        <v>28</v>
      </c>
      <c r="AF36" s="117" t="s">
        <v>29</v>
      </c>
      <c r="AG36" s="117" t="s">
        <v>30</v>
      </c>
      <c r="AH36" s="117" t="s">
        <v>31</v>
      </c>
      <c r="AI36" s="117" t="s">
        <v>32</v>
      </c>
      <c r="AJ36" s="117" t="s">
        <v>33</v>
      </c>
      <c r="AK36" s="117" t="s">
        <v>2</v>
      </c>
      <c r="AL36" s="117" t="s">
        <v>34</v>
      </c>
      <c r="AM36" s="117" t="s">
        <v>35</v>
      </c>
      <c r="AN36" s="117" t="s">
        <v>36</v>
      </c>
      <c r="AO36" s="117" t="s">
        <v>3</v>
      </c>
      <c r="AP36" s="117" t="s">
        <v>148</v>
      </c>
    </row>
    <row r="37" spans="1:42">
      <c r="A37" s="1">
        <v>2</v>
      </c>
      <c r="B37" s="3" t="s">
        <v>37</v>
      </c>
      <c r="C37" s="117"/>
      <c r="D37" s="118"/>
      <c r="E37" s="117"/>
      <c r="H37" s="3" t="s">
        <v>37</v>
      </c>
      <c r="I37" s="117"/>
      <c r="J37" s="117"/>
      <c r="K37" s="117"/>
      <c r="L37" s="117"/>
      <c r="M37" s="117"/>
      <c r="N37" s="117"/>
      <c r="O37" s="117"/>
      <c r="P37" s="117"/>
      <c r="Q37" s="117"/>
      <c r="R37" s="117"/>
      <c r="S37" s="117"/>
      <c r="T37" s="117"/>
      <c r="U37" s="117"/>
      <c r="V37" s="117"/>
      <c r="W37" s="117"/>
      <c r="X37" s="117"/>
      <c r="Y37" s="117"/>
      <c r="Z37" s="117"/>
      <c r="AA37" s="117"/>
      <c r="AB37" s="117"/>
      <c r="AC37" s="117"/>
      <c r="AD37" s="117"/>
      <c r="AE37" s="117"/>
      <c r="AF37" s="117"/>
      <c r="AG37" s="117"/>
      <c r="AH37" s="117"/>
      <c r="AI37" s="117"/>
      <c r="AJ37" s="117"/>
      <c r="AK37" s="117"/>
      <c r="AL37" s="117"/>
      <c r="AM37" s="117"/>
      <c r="AN37" s="117"/>
      <c r="AO37" s="117"/>
      <c r="AP37" s="117"/>
    </row>
    <row r="38" spans="1:42">
      <c r="A38" s="1">
        <v>3</v>
      </c>
    </row>
    <row r="39" spans="1:42">
      <c r="A39" s="1">
        <v>4</v>
      </c>
      <c r="B39" s="6" t="s">
        <v>38</v>
      </c>
      <c r="C39" s="24">
        <f>+HLOOKUP($C$36,$H$36:$AS$51,A39,FALSE)</f>
        <v>877.86212596818189</v>
      </c>
      <c r="D39" s="76">
        <f>+HLOOKUP($D$36,H36:AS51,A39,FALSE)</f>
        <v>952.37681311411916</v>
      </c>
      <c r="E39" s="61">
        <f>D39/C39-1</f>
        <v>8.4881993358303376E-2</v>
      </c>
      <c r="H39" s="6" t="s">
        <v>38</v>
      </c>
      <c r="I39" s="32"/>
      <c r="J39" s="32"/>
      <c r="K39" s="32"/>
      <c r="L39" s="32"/>
      <c r="M39" s="32"/>
      <c r="N39" s="32"/>
      <c r="O39" s="32"/>
      <c r="P39" s="32"/>
      <c r="Q39" s="24">
        <f>Q41+Q42</f>
        <v>896.15477393720892</v>
      </c>
      <c r="R39" s="24">
        <f t="shared" ref="R39:W39" si="24">R41+R42</f>
        <v>966.33258163299797</v>
      </c>
      <c r="S39" s="24">
        <f t="shared" si="24"/>
        <v>931.47193074071765</v>
      </c>
      <c r="T39" s="24">
        <f t="shared" si="24"/>
        <v>1184.7649773808278</v>
      </c>
      <c r="U39" s="24">
        <f t="shared" si="24"/>
        <v>788.82634795288288</v>
      </c>
      <c r="V39" s="24">
        <f t="shared" si="24"/>
        <v>1049</v>
      </c>
      <c r="W39" s="24">
        <f t="shared" si="24"/>
        <v>1163.3114928183011</v>
      </c>
      <c r="X39" s="24">
        <f t="shared" ref="X39:Y39" si="25">X41+X42</f>
        <v>1110.2813305312957</v>
      </c>
      <c r="Y39" s="24">
        <f t="shared" si="25"/>
        <v>809.94496876190215</v>
      </c>
      <c r="Z39" s="24">
        <f t="shared" ref="Z39:AE39" si="26">Z41+Z42</f>
        <v>978.76345776423216</v>
      </c>
      <c r="AA39" s="24">
        <f t="shared" si="26"/>
        <v>1096.5211357750077</v>
      </c>
      <c r="AB39" s="24">
        <f t="shared" si="26"/>
        <v>1159.7479302785923</v>
      </c>
      <c r="AC39" s="24">
        <f t="shared" si="26"/>
        <v>941.93401631200777</v>
      </c>
      <c r="AD39" s="24">
        <f t="shared" si="26"/>
        <v>983.01939262984422</v>
      </c>
      <c r="AE39" s="24">
        <f t="shared" si="26"/>
        <v>1160.60459709322</v>
      </c>
      <c r="AF39" s="24">
        <f t="shared" ref="AF39:AO39" si="27">AF41+AF42</f>
        <v>825.0815780808764</v>
      </c>
      <c r="AG39" s="24">
        <f t="shared" si="27"/>
        <v>515.44411977188861</v>
      </c>
      <c r="AH39" s="24">
        <f t="shared" si="27"/>
        <v>626.65296885991324</v>
      </c>
      <c r="AI39" s="24">
        <f t="shared" si="27"/>
        <v>1018.899188234898</v>
      </c>
      <c r="AJ39" s="24">
        <f t="shared" si="27"/>
        <v>965.98011462914837</v>
      </c>
      <c r="AK39" s="24">
        <f t="shared" si="27"/>
        <v>560.96413158793575</v>
      </c>
      <c r="AL39" s="24">
        <f t="shared" si="27"/>
        <v>877.86212596818189</v>
      </c>
      <c r="AM39" s="24">
        <f t="shared" si="27"/>
        <v>1183.6065573044966</v>
      </c>
      <c r="AN39" s="24">
        <f t="shared" si="27"/>
        <v>906.64523534285752</v>
      </c>
      <c r="AO39" s="24">
        <f t="shared" si="27"/>
        <v>1001.9415212568607</v>
      </c>
      <c r="AP39" s="24">
        <v>952.37681311411916</v>
      </c>
    </row>
    <row r="40" spans="1:42" ht="6" customHeight="1">
      <c r="A40" s="1">
        <v>5</v>
      </c>
      <c r="E40" s="59"/>
      <c r="I40" s="33"/>
      <c r="J40" s="33"/>
      <c r="K40" s="33"/>
      <c r="L40" s="33"/>
      <c r="M40" s="33"/>
      <c r="N40" s="33"/>
      <c r="O40" s="33"/>
      <c r="P40" s="33"/>
    </row>
    <row r="41" spans="1:42">
      <c r="A41" s="1">
        <v>6</v>
      </c>
      <c r="B41" s="5" t="s">
        <v>58</v>
      </c>
      <c r="C41" s="25">
        <f>+HLOOKUP($C$36,$H$36:$AS$51,A41,FALSE)</f>
        <v>503.87157825194322</v>
      </c>
      <c r="D41" s="77">
        <f>+HLOOKUP($D$36,$H$36:$BJ$51,A41,FALSE)</f>
        <v>589.54164912118472</v>
      </c>
      <c r="E41" s="63">
        <f>+D41/C41-1</f>
        <v>0.17002362222225842</v>
      </c>
      <c r="F41" s="55"/>
      <c r="H41" s="5" t="s">
        <v>58</v>
      </c>
      <c r="I41" s="34"/>
      <c r="J41" s="34"/>
      <c r="K41" s="34"/>
      <c r="L41" s="34"/>
      <c r="M41" s="34"/>
      <c r="N41" s="34"/>
      <c r="O41" s="34"/>
      <c r="P41" s="34"/>
      <c r="Q41" s="25">
        <v>896.15477393720892</v>
      </c>
      <c r="R41" s="25">
        <v>895</v>
      </c>
      <c r="S41" s="25">
        <v>660.8546595771212</v>
      </c>
      <c r="T41" s="25">
        <v>701.74175820562186</v>
      </c>
      <c r="U41" s="25">
        <v>670.14557932067135</v>
      </c>
      <c r="V41" s="25">
        <v>713</v>
      </c>
      <c r="W41" s="25">
        <v>808.7313863700075</v>
      </c>
      <c r="X41" s="25">
        <v>820.11765848199025</v>
      </c>
      <c r="Y41" s="25">
        <v>754.11900053134241</v>
      </c>
      <c r="Z41" s="25">
        <v>805.13023617018166</v>
      </c>
      <c r="AA41" s="25">
        <v>725.43641713442707</v>
      </c>
      <c r="AB41" s="25">
        <v>716.78307257861093</v>
      </c>
      <c r="AC41" s="25">
        <v>752.74025687093615</v>
      </c>
      <c r="AD41" s="25">
        <v>706.19687364754577</v>
      </c>
      <c r="AE41" s="25">
        <v>730.50346933265155</v>
      </c>
      <c r="AF41" s="25">
        <v>732.89679752741722</v>
      </c>
      <c r="AG41" s="25">
        <v>515.44411977188861</v>
      </c>
      <c r="AH41" s="25">
        <v>412.61388027848921</v>
      </c>
      <c r="AI41" s="25">
        <v>466.68086721477931</v>
      </c>
      <c r="AJ41" s="25">
        <v>489.79016563977711</v>
      </c>
      <c r="AK41" s="25">
        <v>509.42713583293488</v>
      </c>
      <c r="AL41" s="25">
        <v>503.87157825194322</v>
      </c>
      <c r="AM41" s="25">
        <v>506.87877990606654</v>
      </c>
      <c r="AN41" s="25">
        <v>525.56750682169206</v>
      </c>
      <c r="AO41" s="25">
        <v>617.02986788140606</v>
      </c>
      <c r="AP41" s="25">
        <v>589.54164912118472</v>
      </c>
    </row>
    <row r="42" spans="1:42">
      <c r="A42" s="1">
        <v>7</v>
      </c>
      <c r="B42" s="5" t="s">
        <v>41</v>
      </c>
      <c r="C42" s="25">
        <f>+HLOOKUP($C$36,$H$36:$AS$51,A42,FALSE)</f>
        <v>373.99054771623867</v>
      </c>
      <c r="D42" s="77">
        <f>+HLOOKUP($D$36,$H$36:$BJ$51,A42,FALSE)</f>
        <v>362.83516399293444</v>
      </c>
      <c r="E42" s="63">
        <f>+D42/C42-1</f>
        <v>-2.9827983063807961E-2</v>
      </c>
      <c r="H42" s="5" t="s">
        <v>41</v>
      </c>
      <c r="I42" s="34"/>
      <c r="J42" s="34"/>
      <c r="K42" s="34"/>
      <c r="L42" s="34"/>
      <c r="M42" s="34"/>
      <c r="N42" s="34"/>
      <c r="O42" s="34"/>
      <c r="P42" s="34"/>
      <c r="Q42" s="34">
        <v>0</v>
      </c>
      <c r="R42" s="25">
        <v>71.332581632997972</v>
      </c>
      <c r="S42" s="25">
        <v>270.61727116359646</v>
      </c>
      <c r="T42" s="25">
        <v>483.0232191752059</v>
      </c>
      <c r="U42" s="25">
        <v>118.68076863221151</v>
      </c>
      <c r="V42" s="25">
        <v>336</v>
      </c>
      <c r="W42" s="25">
        <v>354.58010644829352</v>
      </c>
      <c r="X42" s="25">
        <v>290.16367204930543</v>
      </c>
      <c r="Y42" s="25">
        <v>55.825968230559759</v>
      </c>
      <c r="Z42" s="25">
        <v>173.63322159405053</v>
      </c>
      <c r="AA42" s="25">
        <v>371.0847186405806</v>
      </c>
      <c r="AB42" s="25">
        <v>442.96485769998151</v>
      </c>
      <c r="AC42" s="25">
        <v>189.19375944107159</v>
      </c>
      <c r="AD42" s="25">
        <v>276.82251898229845</v>
      </c>
      <c r="AE42" s="25">
        <v>430.10112776056849</v>
      </c>
      <c r="AF42" s="25">
        <v>92.184780553459206</v>
      </c>
      <c r="AG42" s="25">
        <v>0</v>
      </c>
      <c r="AH42" s="25">
        <v>214.03908858142407</v>
      </c>
      <c r="AI42" s="25">
        <v>552.21832102011876</v>
      </c>
      <c r="AJ42" s="25">
        <v>476.18994898937126</v>
      </c>
      <c r="AK42" s="25">
        <v>51.536995755000873</v>
      </c>
      <c r="AL42" s="25">
        <v>373.99054771623867</v>
      </c>
      <c r="AM42" s="25">
        <v>676.72777739843013</v>
      </c>
      <c r="AN42" s="25">
        <v>381.07772852116545</v>
      </c>
      <c r="AO42" s="25">
        <v>384.91165337545465</v>
      </c>
      <c r="AP42" s="25">
        <v>362.83516399293444</v>
      </c>
    </row>
    <row r="43" spans="1:42" ht="6" customHeight="1">
      <c r="A43" s="1">
        <v>8</v>
      </c>
      <c r="C43" s="26">
        <f>+HLOOKUP($C$36,$H$36:$AS$51,A43,FALSE)</f>
        <v>0</v>
      </c>
      <c r="E43" s="59"/>
      <c r="I43" s="33"/>
      <c r="J43" s="33"/>
      <c r="K43" s="33"/>
      <c r="L43" s="33"/>
      <c r="M43" s="33"/>
      <c r="N43" s="33"/>
      <c r="O43" s="33"/>
      <c r="P43" s="33"/>
      <c r="Q43" s="26"/>
      <c r="R43" s="26"/>
      <c r="S43" s="26"/>
      <c r="T43" s="26"/>
      <c r="U43" s="26"/>
      <c r="V43" s="26"/>
      <c r="W43" s="26"/>
      <c r="X43" s="26"/>
      <c r="Y43" s="26"/>
      <c r="Z43" s="26"/>
      <c r="AA43" s="26"/>
      <c r="AB43" s="26"/>
      <c r="AC43" s="26"/>
      <c r="AD43" s="26"/>
      <c r="AE43" s="26"/>
      <c r="AF43" s="26"/>
      <c r="AG43" s="26"/>
      <c r="AH43" s="26"/>
      <c r="AI43" s="26"/>
      <c r="AJ43" s="26"/>
      <c r="AK43" s="26"/>
      <c r="AL43" s="26"/>
      <c r="AM43" s="26"/>
      <c r="AN43" s="26"/>
      <c r="AO43" s="26"/>
      <c r="AP43" s="26"/>
    </row>
    <row r="44" spans="1:42">
      <c r="A44" s="1">
        <v>9</v>
      </c>
      <c r="B44" s="5" t="s">
        <v>42</v>
      </c>
      <c r="C44" s="25">
        <f>+HLOOKUP($C$36,$H$36:$AS$51,A44,FALSE)</f>
        <v>563.2322290763849</v>
      </c>
      <c r="D44" s="77">
        <f>+HLOOKUP($D$36,$H$36:$BJ$51,A44,FALSE)</f>
        <v>567.71736581526534</v>
      </c>
      <c r="E44" s="63">
        <f t="shared" ref="E44" si="28">+D44/C44-1</f>
        <v>7.9632103905620255E-3</v>
      </c>
      <c r="H44" s="5" t="s">
        <v>42</v>
      </c>
      <c r="I44" s="34"/>
      <c r="J44" s="34"/>
      <c r="K44" s="34"/>
      <c r="L44" s="34"/>
      <c r="M44" s="34"/>
      <c r="N44" s="34"/>
      <c r="O44" s="34"/>
      <c r="P44" s="34"/>
      <c r="Q44" s="25">
        <v>561</v>
      </c>
      <c r="R44" s="25">
        <v>561.85</v>
      </c>
      <c r="S44" s="25">
        <v>563</v>
      </c>
      <c r="T44" s="25">
        <v>563.79843672169034</v>
      </c>
      <c r="U44" s="25">
        <v>562.0491675086156</v>
      </c>
      <c r="V44" s="25">
        <v>555</v>
      </c>
      <c r="W44" s="25">
        <v>556.32527854111379</v>
      </c>
      <c r="X44" s="25">
        <v>553.79857139638716</v>
      </c>
      <c r="Y44" s="25">
        <v>551.44933226868807</v>
      </c>
      <c r="Z44" s="25">
        <v>550.05621080812159</v>
      </c>
      <c r="AA44" s="25">
        <v>552.75187275807718</v>
      </c>
      <c r="AB44" s="25">
        <v>553.50897294893377</v>
      </c>
      <c r="AC44" s="25">
        <v>554.83417320313413</v>
      </c>
      <c r="AD44" s="25">
        <v>556.62828233456105</v>
      </c>
      <c r="AE44" s="25">
        <v>430.10112776056849</v>
      </c>
      <c r="AF44" s="25">
        <v>558.47159496645133</v>
      </c>
      <c r="AG44" s="25">
        <v>557.94881104256535</v>
      </c>
      <c r="AH44" s="25">
        <v>559.66719784939505</v>
      </c>
      <c r="AI44" s="25">
        <v>558.44830965854737</v>
      </c>
      <c r="AJ44" s="25">
        <v>558.44795283732333</v>
      </c>
      <c r="AK44" s="25">
        <v>560.43931524796665</v>
      </c>
      <c r="AL44" s="25">
        <v>563.2322290763849</v>
      </c>
      <c r="AM44" s="25">
        <v>564.61862806833153</v>
      </c>
      <c r="AN44" s="25">
        <v>566.05694539025978</v>
      </c>
      <c r="AO44" s="25">
        <v>567.77232808725637</v>
      </c>
      <c r="AP44" s="25">
        <v>567.71736581526534</v>
      </c>
    </row>
    <row r="45" spans="1:42" ht="12.75" customHeight="1">
      <c r="A45" s="1">
        <v>10</v>
      </c>
      <c r="E45" s="59"/>
      <c r="I45" s="33"/>
      <c r="J45" s="33"/>
      <c r="K45" s="33"/>
      <c r="L45" s="33"/>
      <c r="M45" s="33"/>
      <c r="N45" s="33"/>
      <c r="O45" s="33"/>
      <c r="P45" s="33"/>
    </row>
    <row r="46" spans="1:42">
      <c r="A46" s="1">
        <v>11</v>
      </c>
      <c r="B46" s="6" t="s">
        <v>43</v>
      </c>
      <c r="C46" s="24">
        <f>+HLOOKUP($C$36,$H$36:$AS$51,A46,FALSE)</f>
        <v>778.16852065162254</v>
      </c>
      <c r="D46" s="76">
        <f>+HLOOKUP($D$36,$H$36:$BJ$51,A46,FALSE)</f>
        <v>929.45667144024651</v>
      </c>
      <c r="E46" s="61">
        <f>D46/C46-1</f>
        <v>0.19441566546785816</v>
      </c>
      <c r="H46" s="6" t="s">
        <v>43</v>
      </c>
      <c r="I46" s="32"/>
      <c r="J46" s="32"/>
      <c r="K46" s="32"/>
      <c r="L46" s="32"/>
      <c r="M46" s="32"/>
      <c r="N46" s="32"/>
      <c r="O46" s="32"/>
      <c r="P46" s="32"/>
      <c r="Q46" s="24">
        <v>663</v>
      </c>
      <c r="R46" s="24">
        <v>800</v>
      </c>
      <c r="S46" s="24">
        <v>906.60296019489226</v>
      </c>
      <c r="T46" s="24">
        <v>1211</v>
      </c>
      <c r="U46" s="24">
        <v>715.32866794394647</v>
      </c>
      <c r="V46" s="24">
        <v>1074</v>
      </c>
      <c r="W46" s="24">
        <v>1188.0124632138675</v>
      </c>
      <c r="X46" s="24">
        <f t="shared" ref="X46:AP46" si="29">X48</f>
        <v>1135.4340123571928</v>
      </c>
      <c r="Y46" s="24">
        <f t="shared" si="29"/>
        <v>604.51495743320493</v>
      </c>
      <c r="Z46" s="24">
        <f t="shared" si="29"/>
        <v>1002.3766853551615</v>
      </c>
      <c r="AA46" s="24">
        <f t="shared" si="29"/>
        <v>1120.5979260393226</v>
      </c>
      <c r="AB46" s="24">
        <f t="shared" si="29"/>
        <v>1186.0360253896108</v>
      </c>
      <c r="AC46" s="24">
        <f t="shared" si="29"/>
        <v>931.62044726669956</v>
      </c>
      <c r="AD46" s="24">
        <f t="shared" si="29"/>
        <v>937.26247630600551</v>
      </c>
      <c r="AE46" s="24">
        <f t="shared" si="29"/>
        <v>1185.39815986183</v>
      </c>
      <c r="AF46" s="24">
        <f t="shared" si="29"/>
        <v>713.17974191683015</v>
      </c>
      <c r="AG46" s="24">
        <f t="shared" si="29"/>
        <v>343.09821429481127</v>
      </c>
      <c r="AH46" s="24">
        <f t="shared" si="29"/>
        <v>512.9721762170193</v>
      </c>
      <c r="AI46" s="24">
        <f t="shared" si="29"/>
        <v>1041.8325739005161</v>
      </c>
      <c r="AJ46" s="24">
        <f t="shared" si="29"/>
        <v>989.03271813771471</v>
      </c>
      <c r="AK46" s="24">
        <f t="shared" si="29"/>
        <v>520.66747253658468</v>
      </c>
      <c r="AL46" s="24">
        <f t="shared" si="29"/>
        <v>778.16852065162254</v>
      </c>
      <c r="AM46" s="24">
        <f t="shared" si="29"/>
        <v>1210.0593126671508</v>
      </c>
      <c r="AN46" s="24">
        <f t="shared" si="29"/>
        <v>930.07540105793123</v>
      </c>
      <c r="AO46" s="24">
        <f t="shared" si="29"/>
        <v>1027.2936049546111</v>
      </c>
      <c r="AP46" s="24">
        <f t="shared" si="29"/>
        <v>929.45667144024651</v>
      </c>
    </row>
    <row r="47" spans="1:42" ht="6" customHeight="1">
      <c r="A47" s="1">
        <v>12</v>
      </c>
      <c r="E47" s="59"/>
      <c r="I47" s="33"/>
      <c r="J47" s="33"/>
      <c r="K47" s="33"/>
      <c r="L47" s="33"/>
      <c r="M47" s="33"/>
      <c r="N47" s="33"/>
      <c r="O47" s="33"/>
      <c r="P47" s="33"/>
    </row>
    <row r="48" spans="1:42">
      <c r="A48" s="1">
        <v>13</v>
      </c>
      <c r="B48" s="5" t="s">
        <v>59</v>
      </c>
      <c r="C48" s="25">
        <f>+HLOOKUP($C$36,$H$36:$AS$51,A48,FALSE)</f>
        <v>778.16852065162254</v>
      </c>
      <c r="D48" s="77">
        <f>+HLOOKUP($D$36,$H$36:$BJ$51,A48,FALSE)</f>
        <v>929.45667144024651</v>
      </c>
      <c r="E48" s="63">
        <f t="shared" ref="E48" si="30">+D48/C48-1</f>
        <v>0.19441566546785816</v>
      </c>
      <c r="H48" s="5" t="s">
        <v>59</v>
      </c>
      <c r="I48" s="34"/>
      <c r="J48" s="34"/>
      <c r="K48" s="34"/>
      <c r="L48" s="34"/>
      <c r="M48" s="34"/>
      <c r="N48" s="34"/>
      <c r="O48" s="34"/>
      <c r="P48" s="34"/>
      <c r="Q48" s="25">
        <v>663</v>
      </c>
      <c r="R48" s="25">
        <v>800</v>
      </c>
      <c r="S48" s="25">
        <v>906.60296019489226</v>
      </c>
      <c r="T48" s="25">
        <v>1211</v>
      </c>
      <c r="U48" s="25">
        <v>715.32866794394647</v>
      </c>
      <c r="V48" s="25">
        <v>1074</v>
      </c>
      <c r="W48" s="25">
        <v>1188.0124632138675</v>
      </c>
      <c r="X48" s="25">
        <v>1135.4340123571928</v>
      </c>
      <c r="Y48" s="25">
        <v>604.51495743320493</v>
      </c>
      <c r="Z48" s="25">
        <v>1002.3766853551615</v>
      </c>
      <c r="AA48" s="25">
        <v>1120.5979260393226</v>
      </c>
      <c r="AB48" s="25">
        <v>1186.0360253896108</v>
      </c>
      <c r="AC48" s="25">
        <v>931.62044726669956</v>
      </c>
      <c r="AD48" s="25">
        <v>937.26247630600551</v>
      </c>
      <c r="AE48" s="25">
        <v>1185.39815986183</v>
      </c>
      <c r="AF48" s="25">
        <v>713.17974191683015</v>
      </c>
      <c r="AG48" s="25">
        <v>343.09821429481127</v>
      </c>
      <c r="AH48" s="25">
        <v>512.9721762170193</v>
      </c>
      <c r="AI48" s="25">
        <v>1041.8325739005161</v>
      </c>
      <c r="AJ48" s="25">
        <v>989.03271813771471</v>
      </c>
      <c r="AK48" s="25">
        <v>520.66747253658468</v>
      </c>
      <c r="AL48" s="25">
        <v>778.16852065162254</v>
      </c>
      <c r="AM48" s="25">
        <v>1210.0593126671508</v>
      </c>
      <c r="AN48" s="25">
        <v>930.07540105793123</v>
      </c>
      <c r="AO48" s="25">
        <v>1027.2936049546111</v>
      </c>
      <c r="AP48" s="25">
        <v>929.45667144024651</v>
      </c>
    </row>
    <row r="49" spans="1:42">
      <c r="A49" s="1">
        <v>14</v>
      </c>
      <c r="B49" s="5" t="s">
        <v>55</v>
      </c>
      <c r="C49" s="77">
        <f>+HLOOKUP($C$36,$H$36:$AS$51,A49,FALSE)</f>
        <v>120.04272042266</v>
      </c>
      <c r="D49" s="77">
        <f>+HLOOKUP($D$36,$H$36:$BJ$51,A49,FALSE)</f>
        <v>44.494576904377624</v>
      </c>
      <c r="E49" s="63" t="s">
        <v>50</v>
      </c>
      <c r="H49" s="5" t="s">
        <v>55</v>
      </c>
      <c r="I49" s="34"/>
      <c r="J49" s="34"/>
      <c r="K49" s="34"/>
      <c r="L49" s="34"/>
      <c r="M49" s="34"/>
      <c r="N49" s="34"/>
      <c r="O49" s="34"/>
      <c r="P49" s="34"/>
      <c r="Q49" s="25">
        <v>117.26579863620114</v>
      </c>
      <c r="R49" s="25">
        <v>146.8918117608051</v>
      </c>
      <c r="S49" s="25">
        <v>46.406399015580696</v>
      </c>
      <c r="T49" s="30">
        <v>0</v>
      </c>
      <c r="U49" s="25">
        <v>92.800363549785231</v>
      </c>
      <c r="V49" s="30">
        <v>0</v>
      </c>
      <c r="W49" s="30">
        <v>0</v>
      </c>
      <c r="X49" s="30">
        <v>0</v>
      </c>
      <c r="Y49" s="30">
        <v>209.5338502374496</v>
      </c>
      <c r="Z49" s="30">
        <v>0</v>
      </c>
      <c r="AA49" s="30">
        <v>0</v>
      </c>
      <c r="AB49" s="30">
        <v>0</v>
      </c>
      <c r="AC49" s="30">
        <v>33.27100362594868</v>
      </c>
      <c r="AD49" s="30">
        <v>67.834889965652422</v>
      </c>
      <c r="AE49" s="30">
        <v>0</v>
      </c>
      <c r="AF49" s="30">
        <v>130.70588047518626</v>
      </c>
      <c r="AG49" s="30">
        <v>185.6060478259773</v>
      </c>
      <c r="AH49" s="30">
        <v>127.77895410268108</v>
      </c>
      <c r="AI49" s="30">
        <v>0</v>
      </c>
      <c r="AJ49" s="30">
        <v>0</v>
      </c>
      <c r="AK49" s="30">
        <v>57.645095655213254</v>
      </c>
      <c r="AL49" s="30">
        <v>120.04272042266</v>
      </c>
      <c r="AM49" s="30">
        <v>0</v>
      </c>
      <c r="AN49" s="30">
        <v>0</v>
      </c>
      <c r="AO49" s="77">
        <v>0</v>
      </c>
      <c r="AP49" s="77">
        <v>44.494576904377624</v>
      </c>
    </row>
    <row r="50" spans="1:42" ht="6" customHeight="1">
      <c r="A50" s="1">
        <v>15</v>
      </c>
      <c r="C50" s="26">
        <f>+HLOOKUP($C$36,$H$36:$AS$51,A50,FALSE)</f>
        <v>0</v>
      </c>
      <c r="D50" s="75">
        <f>+HLOOKUP($D$36,$H$36:$BJ$51,A50,FALSE)</f>
        <v>0</v>
      </c>
      <c r="E50" s="59"/>
      <c r="I50" s="33"/>
      <c r="J50" s="33"/>
      <c r="K50" s="33"/>
      <c r="L50" s="33"/>
      <c r="M50" s="33"/>
      <c r="N50" s="33"/>
      <c r="O50" s="33"/>
      <c r="P50" s="33"/>
      <c r="Q50" s="26"/>
      <c r="R50" s="26"/>
      <c r="S50" s="26"/>
      <c r="T50" s="26"/>
      <c r="U50" s="26"/>
      <c r="V50" s="26"/>
      <c r="W50" s="26"/>
      <c r="X50" s="26"/>
      <c r="Y50" s="26"/>
      <c r="Z50" s="26"/>
      <c r="AA50" s="26"/>
      <c r="AB50" s="26">
        <v>0</v>
      </c>
      <c r="AC50" s="26"/>
      <c r="AD50" s="26"/>
      <c r="AE50" s="26"/>
      <c r="AF50" s="26"/>
      <c r="AG50" s="26"/>
      <c r="AH50" s="26"/>
      <c r="AI50" s="26"/>
      <c r="AJ50" s="26"/>
      <c r="AK50" s="26"/>
      <c r="AL50" s="26"/>
      <c r="AM50" s="26"/>
      <c r="AN50" s="26"/>
      <c r="AO50" s="26"/>
      <c r="AP50" s="26"/>
    </row>
    <row r="51" spans="1:42">
      <c r="A51" s="1">
        <v>16</v>
      </c>
      <c r="B51" s="27" t="s">
        <v>56</v>
      </c>
      <c r="C51" s="27">
        <f>+HLOOKUP($C$36,$H$36:$AS$51,A51,FALSE)</f>
        <v>253.94782729357865</v>
      </c>
      <c r="D51" s="79">
        <f>+HLOOKUP($D$36,$H$36:$BJ$51,A51,FALSE)</f>
        <v>318.34058708855684</v>
      </c>
      <c r="E51" s="69" t="s">
        <v>50</v>
      </c>
      <c r="H51" s="20" t="s">
        <v>56</v>
      </c>
      <c r="I51" s="35"/>
      <c r="J51" s="35"/>
      <c r="K51" s="35"/>
      <c r="L51" s="35"/>
      <c r="M51" s="35"/>
      <c r="N51" s="35"/>
      <c r="O51" s="35"/>
      <c r="P51" s="35"/>
      <c r="Q51" s="27">
        <v>-117.26579863620114</v>
      </c>
      <c r="R51" s="27">
        <v>-75.559230127807126</v>
      </c>
      <c r="S51" s="27">
        <v>224.21087214801599</v>
      </c>
      <c r="T51" s="27">
        <v>483.0232191752059</v>
      </c>
      <c r="U51" s="27">
        <v>25.880405082426279</v>
      </c>
      <c r="V51" s="27">
        <v>336</v>
      </c>
      <c r="W51" s="27">
        <v>354.58010644829352</v>
      </c>
      <c r="X51" s="27">
        <v>355.58010644829398</v>
      </c>
      <c r="Y51" s="27">
        <v>-153.70788200688983</v>
      </c>
      <c r="Z51" s="27">
        <f t="shared" ref="Z51:AP51" si="31">Z42-Z49</f>
        <v>173.63322159405053</v>
      </c>
      <c r="AA51" s="27">
        <f t="shared" si="31"/>
        <v>371.0847186405806</v>
      </c>
      <c r="AB51" s="27">
        <f t="shared" si="31"/>
        <v>442.96485769998151</v>
      </c>
      <c r="AC51" s="27">
        <f t="shared" si="31"/>
        <v>155.92275581512291</v>
      </c>
      <c r="AD51" s="27">
        <f t="shared" si="31"/>
        <v>208.98762901664603</v>
      </c>
      <c r="AE51" s="27">
        <f t="shared" si="31"/>
        <v>430.10112776056849</v>
      </c>
      <c r="AF51" s="27">
        <f t="shared" si="31"/>
        <v>-38.521099921727057</v>
      </c>
      <c r="AG51" s="27">
        <f t="shared" si="31"/>
        <v>-185.6060478259773</v>
      </c>
      <c r="AH51" s="27">
        <f t="shared" si="31"/>
        <v>86.260134478742984</v>
      </c>
      <c r="AI51" s="27">
        <f t="shared" si="31"/>
        <v>552.21832102011876</v>
      </c>
      <c r="AJ51" s="27">
        <f t="shared" si="31"/>
        <v>476.18994898937126</v>
      </c>
      <c r="AK51" s="27">
        <f t="shared" si="31"/>
        <v>-6.1080999002123804</v>
      </c>
      <c r="AL51" s="27">
        <f t="shared" si="31"/>
        <v>253.94782729357865</v>
      </c>
      <c r="AM51" s="27">
        <f t="shared" si="31"/>
        <v>676.72777739843013</v>
      </c>
      <c r="AN51" s="27">
        <f t="shared" si="31"/>
        <v>381.07772852116545</v>
      </c>
      <c r="AO51" s="27">
        <f t="shared" si="31"/>
        <v>384.91165337545465</v>
      </c>
      <c r="AP51" s="27">
        <f t="shared" si="31"/>
        <v>318.34058708855684</v>
      </c>
    </row>
    <row r="53" spans="1:42">
      <c r="B53" s="1" t="s">
        <v>60</v>
      </c>
    </row>
  </sheetData>
  <mergeCells count="74">
    <mergeCell ref="AO6:AO7"/>
    <mergeCell ref="AO36:AO37"/>
    <mergeCell ref="AA6:AA7"/>
    <mergeCell ref="AA36:AA37"/>
    <mergeCell ref="AB6:AB7"/>
    <mergeCell ref="AB36:AB37"/>
    <mergeCell ref="AE6:AE7"/>
    <mergeCell ref="AE36:AE37"/>
    <mergeCell ref="AD6:AD7"/>
    <mergeCell ref="AD36:AD37"/>
    <mergeCell ref="AC6:AC7"/>
    <mergeCell ref="AC36:AC37"/>
    <mergeCell ref="AM6:AM7"/>
    <mergeCell ref="AM36:AM37"/>
    <mergeCell ref="AJ6:AJ7"/>
    <mergeCell ref="AJ36:AJ37"/>
    <mergeCell ref="AF6:AF7"/>
    <mergeCell ref="AF36:AF37"/>
    <mergeCell ref="AL6:AL7"/>
    <mergeCell ref="AL36:AL37"/>
    <mergeCell ref="AK6:AK7"/>
    <mergeCell ref="AK36:AK37"/>
    <mergeCell ref="AI6:AI7"/>
    <mergeCell ref="AI36:AI37"/>
    <mergeCell ref="AH6:AH7"/>
    <mergeCell ref="AH36:AH37"/>
    <mergeCell ref="AG6:AG7"/>
    <mergeCell ref="AG36:AG37"/>
    <mergeCell ref="C36:C37"/>
    <mergeCell ref="D36:D37"/>
    <mergeCell ref="E36:E37"/>
    <mergeCell ref="I36:I37"/>
    <mergeCell ref="J36:J37"/>
    <mergeCell ref="C6:C7"/>
    <mergeCell ref="D6:D7"/>
    <mergeCell ref="E6:E7"/>
    <mergeCell ref="I6:I7"/>
    <mergeCell ref="J6:J7"/>
    <mergeCell ref="O36:O37"/>
    <mergeCell ref="P36:P37"/>
    <mergeCell ref="T6:T7"/>
    <mergeCell ref="L6:L7"/>
    <mergeCell ref="M6:M7"/>
    <mergeCell ref="N6:N7"/>
    <mergeCell ref="O6:O7"/>
    <mergeCell ref="P6:P7"/>
    <mergeCell ref="Q36:Q37"/>
    <mergeCell ref="R36:R37"/>
    <mergeCell ref="S36:S37"/>
    <mergeCell ref="T36:T37"/>
    <mergeCell ref="Q6:Q7"/>
    <mergeCell ref="R6:R7"/>
    <mergeCell ref="S6:S7"/>
    <mergeCell ref="K36:K37"/>
    <mergeCell ref="K6:K7"/>
    <mergeCell ref="L36:L37"/>
    <mergeCell ref="M36:M37"/>
    <mergeCell ref="N36:N37"/>
    <mergeCell ref="AP6:AP7"/>
    <mergeCell ref="AP36:AP37"/>
    <mergeCell ref="U36:U37"/>
    <mergeCell ref="AN6:AN7"/>
    <mergeCell ref="AN36:AN37"/>
    <mergeCell ref="U6:U7"/>
    <mergeCell ref="Y6:Y7"/>
    <mergeCell ref="Y36:Y37"/>
    <mergeCell ref="V36:V37"/>
    <mergeCell ref="V6:V7"/>
    <mergeCell ref="W6:W7"/>
    <mergeCell ref="X6:X7"/>
    <mergeCell ref="X36:X37"/>
    <mergeCell ref="W36:W37"/>
    <mergeCell ref="Z6:Z7"/>
    <mergeCell ref="Z36:Z37"/>
  </mergeCells>
  <phoneticPr fontId="14" type="noConversion"/>
  <pageMargins left="0.7" right="0.7" top="0.75" bottom="0.75" header="0.3" footer="0.3"/>
  <pageSetup orientation="portrait" r:id="rId1"/>
  <ignoredErrors>
    <ignoredError sqref="I24 J24:AG24 AK24 AH24:AJ24 AL24:AO24" formulaRange="1"/>
  </ignoredError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3:AD50"/>
  <sheetViews>
    <sheetView topLeftCell="B20" zoomScale="90" zoomScaleNormal="90" workbookViewId="0">
      <selection activeCell="C23" sqref="C23"/>
    </sheetView>
  </sheetViews>
  <sheetFormatPr baseColWidth="10" defaultColWidth="11.42578125" defaultRowHeight="15"/>
  <cols>
    <col min="1" max="1" width="0" style="1" hidden="1" customWidth="1"/>
    <col min="2" max="2" width="57.28515625" style="1" customWidth="1"/>
    <col min="3" max="7" width="11.42578125" style="1"/>
    <col min="8" max="8" width="57.28515625" style="1" customWidth="1"/>
    <col min="9" max="24" width="11.42578125" style="1" customWidth="1"/>
    <col min="25" max="25" width="11.42578125" style="1"/>
    <col min="26" max="27" width="11.42578125" style="1" customWidth="1"/>
    <col min="28" max="28" width="11.5703125" style="1" customWidth="1"/>
    <col min="29" max="29" width="11.42578125" style="1" customWidth="1"/>
    <col min="30" max="30" width="11.28515625" style="1" customWidth="1"/>
    <col min="31" max="16384" width="11.42578125" style="1"/>
  </cols>
  <sheetData>
    <row r="3" spans="1:30">
      <c r="X3" s="106"/>
    </row>
    <row r="4" spans="1:30" ht="23.25">
      <c r="B4" s="12" t="s">
        <v>61</v>
      </c>
      <c r="C4" s="13"/>
      <c r="D4" s="13"/>
      <c r="E4" s="13"/>
      <c r="H4" s="12" t="s">
        <v>61</v>
      </c>
      <c r="I4" s="13"/>
      <c r="J4" s="13"/>
      <c r="K4" s="13"/>
      <c r="L4" s="13"/>
      <c r="M4" s="13"/>
      <c r="N4" s="13"/>
      <c r="O4" s="13"/>
      <c r="P4" s="13"/>
      <c r="Q4" s="13"/>
      <c r="R4" s="13"/>
      <c r="S4" s="13"/>
      <c r="T4" s="13"/>
      <c r="U4" s="13"/>
      <c r="V4" s="13"/>
      <c r="W4" s="13"/>
      <c r="X4" s="13"/>
      <c r="Y4" s="13"/>
      <c r="Z4" s="13"/>
      <c r="AA4" s="13"/>
      <c r="AB4" s="13"/>
      <c r="AC4" s="13"/>
      <c r="AD4" s="13"/>
    </row>
    <row r="5" spans="1:30" ht="8.25" customHeight="1"/>
    <row r="6" spans="1:30" ht="15.75" customHeight="1">
      <c r="A6" s="1">
        <v>1</v>
      </c>
      <c r="B6" s="3" t="s">
        <v>62</v>
      </c>
      <c r="C6" s="117" t="s">
        <v>34</v>
      </c>
      <c r="D6" s="117" t="s">
        <v>148</v>
      </c>
      <c r="E6" s="117" t="s">
        <v>4</v>
      </c>
      <c r="H6" s="3" t="s">
        <v>62</v>
      </c>
      <c r="I6" s="117" t="s">
        <v>18</v>
      </c>
      <c r="J6" s="117" t="s">
        <v>19</v>
      </c>
      <c r="K6" s="117" t="s">
        <v>20</v>
      </c>
      <c r="L6" s="117" t="s">
        <v>21</v>
      </c>
      <c r="M6" s="117" t="s">
        <v>22</v>
      </c>
      <c r="N6" s="117" t="s">
        <v>23</v>
      </c>
      <c r="O6" s="117" t="s">
        <v>24</v>
      </c>
      <c r="P6" s="117" t="s">
        <v>25</v>
      </c>
      <c r="Q6" s="117" t="s">
        <v>26</v>
      </c>
      <c r="R6" s="117" t="s">
        <v>63</v>
      </c>
      <c r="S6" s="121" t="s">
        <v>28</v>
      </c>
      <c r="T6" s="121" t="s">
        <v>29</v>
      </c>
      <c r="U6" s="117" t="s">
        <v>30</v>
      </c>
      <c r="V6" s="117" t="s">
        <v>31</v>
      </c>
      <c r="W6" s="117" t="s">
        <v>32</v>
      </c>
      <c r="X6" s="117" t="s">
        <v>33</v>
      </c>
      <c r="Y6" s="117" t="s">
        <v>2</v>
      </c>
      <c r="Z6" s="117" t="s">
        <v>34</v>
      </c>
      <c r="AA6" s="117" t="s">
        <v>35</v>
      </c>
      <c r="AB6" s="117" t="s">
        <v>36</v>
      </c>
      <c r="AC6" s="117" t="s">
        <v>3</v>
      </c>
      <c r="AD6" s="119" t="s">
        <v>148</v>
      </c>
    </row>
    <row r="7" spans="1:30">
      <c r="A7" s="1">
        <v>2</v>
      </c>
      <c r="B7" s="3" t="s">
        <v>64</v>
      </c>
      <c r="C7" s="117"/>
      <c r="D7" s="117"/>
      <c r="E7" s="117"/>
      <c r="H7" s="3" t="s">
        <v>64</v>
      </c>
      <c r="I7" s="117"/>
      <c r="J7" s="117"/>
      <c r="K7" s="117"/>
      <c r="L7" s="117"/>
      <c r="M7" s="117"/>
      <c r="N7" s="117"/>
      <c r="O7" s="117"/>
      <c r="P7" s="117"/>
      <c r="Q7" s="117"/>
      <c r="R7" s="117"/>
      <c r="S7" s="121"/>
      <c r="T7" s="121"/>
      <c r="U7" s="117"/>
      <c r="V7" s="117"/>
      <c r="W7" s="117"/>
      <c r="X7" s="117"/>
      <c r="Y7" s="117"/>
      <c r="Z7" s="117"/>
      <c r="AA7" s="117"/>
      <c r="AB7" s="117"/>
      <c r="AC7" s="117"/>
      <c r="AD7" s="119"/>
    </row>
    <row r="8" spans="1:30" ht="6.75" customHeight="1">
      <c r="A8" s="1">
        <v>3</v>
      </c>
      <c r="AD8" s="98"/>
    </row>
    <row r="9" spans="1:30">
      <c r="A9" s="1">
        <v>4</v>
      </c>
      <c r="B9" s="2" t="s">
        <v>65</v>
      </c>
      <c r="C9" s="109">
        <f>+HLOOKUP($C$6,$H$6:$AT$46,A9,FALSE)</f>
        <v>372.16881775544198</v>
      </c>
      <c r="D9" s="109">
        <f>+HLOOKUP($D$6,$H$6:$AT$46,A9,FALSE)</f>
        <v>513.95137935606238</v>
      </c>
      <c r="E9" s="38">
        <f>D9/C9-1</f>
        <v>0.38096303300129764</v>
      </c>
      <c r="H9" s="2" t="s">
        <v>65</v>
      </c>
      <c r="I9" s="9">
        <f t="shared" ref="I9:AA9" si="0">SUM(I10:I11)</f>
        <v>382.04352459</v>
      </c>
      <c r="J9" s="9">
        <f t="shared" si="0"/>
        <v>393.52543853000003</v>
      </c>
      <c r="K9" s="9">
        <f t="shared" si="0"/>
        <v>384.01442531999993</v>
      </c>
      <c r="L9" s="9">
        <f t="shared" si="0"/>
        <v>388.82864637</v>
      </c>
      <c r="M9" s="9">
        <f t="shared" si="0"/>
        <v>406.61819793000001</v>
      </c>
      <c r="N9" s="9">
        <f t="shared" si="0"/>
        <v>400.79995629000001</v>
      </c>
      <c r="O9" s="9">
        <f t="shared" si="0"/>
        <v>360.15103961</v>
      </c>
      <c r="P9" s="9">
        <f>+P10+P11</f>
        <v>385.69629868999999</v>
      </c>
      <c r="Q9" s="9">
        <f t="shared" si="0"/>
        <v>383.05666324999999</v>
      </c>
      <c r="R9" s="9">
        <f t="shared" si="0"/>
        <v>390.46938418000002</v>
      </c>
      <c r="S9" s="9">
        <f t="shared" si="0"/>
        <v>361.71204583999997</v>
      </c>
      <c r="T9" s="9">
        <f t="shared" si="0"/>
        <v>352.06973197216138</v>
      </c>
      <c r="U9" s="9">
        <f t="shared" si="0"/>
        <v>342.61029194000002</v>
      </c>
      <c r="V9" s="9">
        <f t="shared" si="0"/>
        <v>326.51433945999997</v>
      </c>
      <c r="W9" s="9">
        <f t="shared" si="0"/>
        <v>344.00239963000001</v>
      </c>
      <c r="X9" s="9">
        <f t="shared" si="0"/>
        <v>335.74076198907102</v>
      </c>
      <c r="Y9" s="9">
        <f t="shared" si="0"/>
        <v>335.58527098945598</v>
      </c>
      <c r="Z9" s="9">
        <f t="shared" si="0"/>
        <v>372.16881775544198</v>
      </c>
      <c r="AA9" s="9">
        <f t="shared" si="0"/>
        <v>357.07761227968302</v>
      </c>
      <c r="AB9" s="9">
        <f>SUM(AB10:AB11)</f>
        <v>374.91242898228433</v>
      </c>
      <c r="AC9" s="9">
        <f>SUM(AC10:AC11)</f>
        <v>416.83105583738285</v>
      </c>
      <c r="AD9" s="99">
        <f>SUM(AD10:AD11)</f>
        <v>513.95137935606238</v>
      </c>
    </row>
    <row r="10" spans="1:30">
      <c r="A10" s="1">
        <v>5</v>
      </c>
      <c r="B10" s="4" t="s">
        <v>66</v>
      </c>
      <c r="C10" s="110">
        <f t="shared" ref="C10:C45" si="1">+HLOOKUP($C$6,$H$6:$AT$46,A10,FALSE)</f>
        <v>362.26222753999991</v>
      </c>
      <c r="D10" s="110">
        <f t="shared" ref="D10:D46" si="2">+HLOOKUP($D$6,$H$6:$AT$46,A10,FALSE)</f>
        <v>503.74487557000009</v>
      </c>
      <c r="E10" s="36">
        <f t="shared" ref="E10:E11" si="3">+D10/C10-1</f>
        <v>0.3905531332669181</v>
      </c>
      <c r="H10" s="4" t="s">
        <v>66</v>
      </c>
      <c r="I10" s="82">
        <v>375.70760791999999</v>
      </c>
      <c r="J10" s="82">
        <v>387.07254207000005</v>
      </c>
      <c r="K10" s="82">
        <v>377.56387881999996</v>
      </c>
      <c r="L10" s="82">
        <v>383.95966881999999</v>
      </c>
      <c r="M10" s="82">
        <v>399.36714494</v>
      </c>
      <c r="N10" s="82">
        <v>394.71491316000004</v>
      </c>
      <c r="O10" s="82">
        <f>360.15103961-O11</f>
        <v>353.20982264000003</v>
      </c>
      <c r="P10" s="82">
        <v>378.41628665000002</v>
      </c>
      <c r="Q10" s="82">
        <v>375.03835251999999</v>
      </c>
      <c r="R10" s="82">
        <v>381.06003191000002</v>
      </c>
      <c r="S10" s="82">
        <v>352.25140654999996</v>
      </c>
      <c r="T10" s="82">
        <v>340.84477436216139</v>
      </c>
      <c r="U10" s="82">
        <v>336.26742267000003</v>
      </c>
      <c r="V10" s="82">
        <v>318.16888381999996</v>
      </c>
      <c r="W10" s="82">
        <v>339.68414925000002</v>
      </c>
      <c r="X10" s="82">
        <v>329.10525194999997</v>
      </c>
      <c r="Y10" s="82">
        <v>327.88627881999986</v>
      </c>
      <c r="Z10" s="82">
        <v>362.26222753999991</v>
      </c>
      <c r="AA10" s="82">
        <v>338.07808542000032</v>
      </c>
      <c r="AB10" s="82">
        <v>368.41671285999996</v>
      </c>
      <c r="AC10" s="82">
        <v>404.13782836000001</v>
      </c>
      <c r="AD10" s="100">
        <v>503.74487557000009</v>
      </c>
    </row>
    <row r="11" spans="1:30">
      <c r="A11" s="1">
        <v>6</v>
      </c>
      <c r="B11" s="5" t="s">
        <v>67</v>
      </c>
      <c r="C11" s="111">
        <f t="shared" si="1"/>
        <v>9.9065902154420691</v>
      </c>
      <c r="D11" s="111">
        <f t="shared" si="2"/>
        <v>10.206503786062314</v>
      </c>
      <c r="E11" s="36">
        <f t="shared" si="3"/>
        <v>3.0274147218964265E-2</v>
      </c>
      <c r="H11" s="5" t="s">
        <v>67</v>
      </c>
      <c r="I11" s="7">
        <v>6.3359166699999987</v>
      </c>
      <c r="J11" s="7">
        <v>6.4528964599999998</v>
      </c>
      <c r="K11" s="7">
        <v>6.4505465000000006</v>
      </c>
      <c r="L11" s="7">
        <v>4.8689775500000003</v>
      </c>
      <c r="M11" s="7">
        <v>7.2510529899999989</v>
      </c>
      <c r="N11" s="7">
        <v>6.0850431299999999</v>
      </c>
      <c r="O11" s="7">
        <v>6.9412169699999984</v>
      </c>
      <c r="P11" s="7">
        <v>7.2800120399999999</v>
      </c>
      <c r="Q11" s="7">
        <v>8.0183107299999996</v>
      </c>
      <c r="R11" s="7">
        <v>9.4093522699999994</v>
      </c>
      <c r="S11" s="7">
        <v>9.4606392900000014</v>
      </c>
      <c r="T11" s="7">
        <v>11.224957609999999</v>
      </c>
      <c r="U11" s="7">
        <v>6.3428692699999996</v>
      </c>
      <c r="V11" s="7">
        <v>8.3454556400000008</v>
      </c>
      <c r="W11" s="7">
        <v>4.3182503800000003</v>
      </c>
      <c r="X11" s="7">
        <v>6.635510039071038</v>
      </c>
      <c r="Y11" s="7">
        <v>7.698992169456119</v>
      </c>
      <c r="Z11" s="7">
        <v>9.9065902154420691</v>
      </c>
      <c r="AA11" s="7">
        <v>18.999526859682689</v>
      </c>
      <c r="AB11" s="7">
        <v>6.4957161222843425</v>
      </c>
      <c r="AC11" s="7">
        <v>12.693227477382838</v>
      </c>
      <c r="AD11" s="107">
        <v>10.206503786062314</v>
      </c>
    </row>
    <row r="12" spans="1:30" ht="5.25" customHeight="1">
      <c r="A12" s="1">
        <v>7</v>
      </c>
      <c r="C12" s="112"/>
      <c r="D12" s="112"/>
      <c r="E12" s="39"/>
      <c r="AD12" s="101"/>
    </row>
    <row r="13" spans="1:30">
      <c r="A13" s="1">
        <v>8</v>
      </c>
      <c r="B13" s="6" t="s">
        <v>68</v>
      </c>
      <c r="C13" s="109">
        <f t="shared" si="1"/>
        <v>-189.50218863124448</v>
      </c>
      <c r="D13" s="109">
        <f t="shared" si="2"/>
        <v>-326.46387163163115</v>
      </c>
      <c r="E13" s="38">
        <f>D13/C13-1</f>
        <v>0.72274459725055062</v>
      </c>
      <c r="H13" s="6" t="s">
        <v>68</v>
      </c>
      <c r="I13" s="9">
        <f t="shared" ref="I13:AC13" si="4">SUM(I14:I19)</f>
        <v>-201.61834733999999</v>
      </c>
      <c r="J13" s="9">
        <f t="shared" si="4"/>
        <v>-209.72360940999999</v>
      </c>
      <c r="K13" s="9">
        <f t="shared" si="4"/>
        <v>-182.83798649000002</v>
      </c>
      <c r="L13" s="9">
        <f t="shared" si="4"/>
        <v>-161.49980806000002</v>
      </c>
      <c r="M13" s="9">
        <f t="shared" si="4"/>
        <v>-214.61205498000001</v>
      </c>
      <c r="N13" s="9">
        <f t="shared" si="4"/>
        <v>-218.94480712000001</v>
      </c>
      <c r="O13" s="9">
        <f t="shared" si="4"/>
        <v>-176.48669952</v>
      </c>
      <c r="P13" s="9">
        <f t="shared" si="4"/>
        <v>-145.51666410999999</v>
      </c>
      <c r="Q13" s="9">
        <f t="shared" si="4"/>
        <v>-197.76414062000003</v>
      </c>
      <c r="R13" s="9">
        <f t="shared" si="4"/>
        <v>-191.37367252999999</v>
      </c>
      <c r="S13" s="9">
        <f t="shared" si="4"/>
        <v>-160.20363063999997</v>
      </c>
      <c r="T13" s="9">
        <f t="shared" si="4"/>
        <v>-142.64274646084766</v>
      </c>
      <c r="U13" s="9">
        <f t="shared" si="4"/>
        <v>-144.02327721</v>
      </c>
      <c r="V13" s="9">
        <f t="shared" si="4"/>
        <v>-144.97976937000001</v>
      </c>
      <c r="W13" s="9">
        <f t="shared" si="4"/>
        <v>-141.80259100999999</v>
      </c>
      <c r="X13" s="9">
        <f t="shared" si="4"/>
        <v>-123.59622957000001</v>
      </c>
      <c r="Y13" s="9">
        <f t="shared" si="4"/>
        <v>-163.24753229999999</v>
      </c>
      <c r="Z13" s="9">
        <f t="shared" si="4"/>
        <v>-189.50218863124448</v>
      </c>
      <c r="AA13" s="9">
        <f t="shared" si="4"/>
        <v>-253.26415183148549</v>
      </c>
      <c r="AB13" s="9">
        <f t="shared" si="4"/>
        <v>-175.95883669</v>
      </c>
      <c r="AC13" s="9">
        <f t="shared" si="4"/>
        <v>-237.66753002999999</v>
      </c>
      <c r="AD13" s="99">
        <v>-326.46387163163115</v>
      </c>
    </row>
    <row r="14" spans="1:30">
      <c r="A14" s="1">
        <v>9</v>
      </c>
      <c r="B14" s="5" t="s">
        <v>69</v>
      </c>
      <c r="C14" s="8">
        <f t="shared" si="1"/>
        <v>-29.581270990000004</v>
      </c>
      <c r="D14" s="8">
        <f t="shared" si="2"/>
        <v>-36.782159120000003</v>
      </c>
      <c r="E14" s="36">
        <f>+D14/C14-1</f>
        <v>0.24342727303482903</v>
      </c>
      <c r="H14" s="5" t="s">
        <v>69</v>
      </c>
      <c r="I14" s="8">
        <v>-49.663123439999993</v>
      </c>
      <c r="J14" s="8">
        <v>-45.028858790000001</v>
      </c>
      <c r="K14" s="8">
        <v>-48.471841370000007</v>
      </c>
      <c r="L14" s="8">
        <v>-50.922849980000002</v>
      </c>
      <c r="M14" s="8">
        <v>-49.971196500000005</v>
      </c>
      <c r="N14" s="8">
        <v>-42.72805692</v>
      </c>
      <c r="O14" s="8">
        <v>-27.189153449999999</v>
      </c>
      <c r="P14" s="8">
        <v>-32.179547069999998</v>
      </c>
      <c r="Q14" s="8">
        <v>-32.977775399999999</v>
      </c>
      <c r="R14" s="8">
        <v>-34.296792169999996</v>
      </c>
      <c r="S14" s="8">
        <v>-31.990598459999998</v>
      </c>
      <c r="T14" s="8">
        <v>-20.88005158</v>
      </c>
      <c r="U14" s="8">
        <v>-21.550229389999998</v>
      </c>
      <c r="V14" s="8">
        <v>-26.609996129999999</v>
      </c>
      <c r="W14" s="8">
        <v>-26.503041410000002</v>
      </c>
      <c r="X14" s="8">
        <v>-38.097026920000005</v>
      </c>
      <c r="Y14" s="8">
        <v>-31.256106670000001</v>
      </c>
      <c r="Z14" s="8">
        <v>-29.581270990000004</v>
      </c>
      <c r="AA14" s="8">
        <v>-23.925166110000006</v>
      </c>
      <c r="AB14" s="8">
        <v>-30.191743499999983</v>
      </c>
      <c r="AC14" s="8">
        <v>-36.727656089999996</v>
      </c>
      <c r="AD14" s="102">
        <v>-36.782159120000003</v>
      </c>
    </row>
    <row r="15" spans="1:30">
      <c r="A15" s="1">
        <v>10</v>
      </c>
      <c r="B15" s="5" t="s">
        <v>70</v>
      </c>
      <c r="C15" s="8">
        <f t="shared" si="1"/>
        <v>-13.359126759999995</v>
      </c>
      <c r="D15" s="8">
        <f t="shared" si="2"/>
        <v>-40.373698689999998</v>
      </c>
      <c r="E15" s="37">
        <f t="shared" ref="E15:E19" si="5">+D15/C15-1</f>
        <v>2.0221809715053571</v>
      </c>
      <c r="H15" s="5" t="s">
        <v>70</v>
      </c>
      <c r="I15" s="8">
        <v>-10.309236590000001</v>
      </c>
      <c r="J15" s="8">
        <v>-8.1412438000000016</v>
      </c>
      <c r="K15" s="8">
        <v>-12.31748</v>
      </c>
      <c r="L15" s="8">
        <v>-15.235790230000001</v>
      </c>
      <c r="M15" s="8">
        <v>-14.031543289999998</v>
      </c>
      <c r="N15" s="8">
        <v>-8.2634073800000003</v>
      </c>
      <c r="O15" s="8">
        <v>-12.96105287</v>
      </c>
      <c r="P15" s="8">
        <v>-10.257073849999999</v>
      </c>
      <c r="Q15" s="8">
        <v>-2.7598666500000002</v>
      </c>
      <c r="R15" s="8">
        <v>-13.185026169999999</v>
      </c>
      <c r="S15" s="8">
        <v>-30.11858333</v>
      </c>
      <c r="T15" s="8">
        <v>-18.777421969999999</v>
      </c>
      <c r="U15" s="8">
        <v>-15.50763813</v>
      </c>
      <c r="V15" s="8">
        <v>-7.0497441700000003</v>
      </c>
      <c r="W15" s="8">
        <v>-8.8661044199999992</v>
      </c>
      <c r="X15" s="8">
        <v>-22.674804890000001</v>
      </c>
      <c r="Y15" s="8">
        <v>-15.90505726</v>
      </c>
      <c r="Z15" s="8">
        <v>-13.359126759999995</v>
      </c>
      <c r="AA15" s="8">
        <v>-18.52931855000001</v>
      </c>
      <c r="AB15" s="8">
        <v>-22.854881370000005</v>
      </c>
      <c r="AC15" s="8">
        <v>-28.388396860000004</v>
      </c>
      <c r="AD15" s="102">
        <v>-40.373698689999998</v>
      </c>
    </row>
    <row r="16" spans="1:30">
      <c r="A16" s="1">
        <v>11</v>
      </c>
      <c r="B16" s="5" t="s">
        <v>71</v>
      </c>
      <c r="C16" s="8">
        <f t="shared" si="1"/>
        <v>-94.117526049999995</v>
      </c>
      <c r="D16" s="8">
        <f t="shared" si="2"/>
        <v>-150.17607264000003</v>
      </c>
      <c r="E16" s="37">
        <f t="shared" si="5"/>
        <v>0.5956228233221823</v>
      </c>
      <c r="H16" s="5" t="s">
        <v>71</v>
      </c>
      <c r="I16" s="8">
        <v>-94.484040910000004</v>
      </c>
      <c r="J16" s="8">
        <v>-97.683044590000009</v>
      </c>
      <c r="K16" s="8">
        <v>-69.257545590000007</v>
      </c>
      <c r="L16" s="8">
        <v>-46.944186979999998</v>
      </c>
      <c r="M16" s="8">
        <v>-100.79955923</v>
      </c>
      <c r="N16" s="8">
        <v>-115.36363802999999</v>
      </c>
      <c r="O16" s="8">
        <v>-87.820830080000007</v>
      </c>
      <c r="P16" s="8">
        <v>-51.494247820000005</v>
      </c>
      <c r="Q16" s="8">
        <v>-107.34780074</v>
      </c>
      <c r="R16" s="8">
        <v>-95.379333989999992</v>
      </c>
      <c r="S16" s="8">
        <v>-70.417705769999998</v>
      </c>
      <c r="T16" s="8">
        <v>-64.138872550000002</v>
      </c>
      <c r="U16" s="8">
        <v>-68.507288939999995</v>
      </c>
      <c r="V16" s="8">
        <v>-69.673911410000002</v>
      </c>
      <c r="W16" s="8">
        <v>-75.506592269999999</v>
      </c>
      <c r="X16" s="8">
        <v>-31.725625049999998</v>
      </c>
      <c r="Y16" s="8">
        <v>-66.270926209999999</v>
      </c>
      <c r="Z16" s="8">
        <v>-94.117526049999995</v>
      </c>
      <c r="AA16" s="8">
        <v>-149.87379989999997</v>
      </c>
      <c r="AB16" s="8">
        <v>-84.117770259999901</v>
      </c>
      <c r="AC16" s="8">
        <v>-119.36580708000001</v>
      </c>
      <c r="AD16" s="102">
        <v>-150.17607264000003</v>
      </c>
    </row>
    <row r="17" spans="1:30">
      <c r="A17" s="1">
        <v>12</v>
      </c>
      <c r="B17" s="5" t="s">
        <v>72</v>
      </c>
      <c r="C17" s="8">
        <f t="shared" si="1"/>
        <v>-7.6236350399999973</v>
      </c>
      <c r="D17" s="8">
        <f t="shared" si="2"/>
        <v>-50.793224300000006</v>
      </c>
      <c r="E17" s="37" t="s">
        <v>50</v>
      </c>
      <c r="H17" s="5" t="s">
        <v>72</v>
      </c>
      <c r="I17" s="8">
        <v>-6.969882909999999</v>
      </c>
      <c r="J17" s="8">
        <v>-16.593912970000002</v>
      </c>
      <c r="K17" s="8">
        <v>-4.990396689999999</v>
      </c>
      <c r="L17" s="8">
        <v>-2.59113864</v>
      </c>
      <c r="M17" s="8">
        <v>-3.0085850299999999</v>
      </c>
      <c r="N17" s="8">
        <v>-4.8410693299999998</v>
      </c>
      <c r="O17" s="8">
        <v>-4.997354979999999</v>
      </c>
      <c r="P17" s="8">
        <v>-3.5823068500000002</v>
      </c>
      <c r="Q17" s="8">
        <v>-9.144735380000002</v>
      </c>
      <c r="R17" s="8">
        <v>-2.1464366200000002</v>
      </c>
      <c r="S17" s="8">
        <v>-0.41594635999999996</v>
      </c>
      <c r="T17" s="8">
        <v>-0.97457678084765598</v>
      </c>
      <c r="U17" s="8">
        <v>-4.2986809299999997</v>
      </c>
      <c r="V17" s="8">
        <v>-2.9431910800000001</v>
      </c>
      <c r="W17" s="8">
        <v>-0.41815340000000006</v>
      </c>
      <c r="X17" s="8">
        <v>-1.86275127</v>
      </c>
      <c r="Y17" s="8">
        <v>-16.706890779999998</v>
      </c>
      <c r="Z17" s="8">
        <v>-7.6236350399999973</v>
      </c>
      <c r="AA17" s="8">
        <v>-18.83520717</v>
      </c>
      <c r="AB17" s="8">
        <v>-6.1802511400000002</v>
      </c>
      <c r="AC17" s="8">
        <v>-7.0593287499999997</v>
      </c>
      <c r="AD17" s="102">
        <v>-50.793224300000006</v>
      </c>
    </row>
    <row r="18" spans="1:30">
      <c r="A18" s="1">
        <v>13</v>
      </c>
      <c r="B18" s="5" t="s">
        <v>73</v>
      </c>
      <c r="C18" s="8">
        <f t="shared" si="1"/>
        <v>-25.186136600000005</v>
      </c>
      <c r="D18" s="8">
        <f t="shared" si="2"/>
        <v>-31.993431799999996</v>
      </c>
      <c r="E18" s="37">
        <f t="shared" si="5"/>
        <v>0.27027945206967519</v>
      </c>
      <c r="H18" s="5" t="s">
        <v>73</v>
      </c>
      <c r="I18" s="8">
        <v>-18.267814120000004</v>
      </c>
      <c r="J18" s="8">
        <v>-19.587985530000005</v>
      </c>
      <c r="K18" s="8">
        <v>-21.775002570000002</v>
      </c>
      <c r="L18" s="8">
        <v>-14.182322660000001</v>
      </c>
      <c r="M18" s="8">
        <v>-22.118387720000001</v>
      </c>
      <c r="N18" s="8">
        <v>-22.376940360000003</v>
      </c>
      <c r="O18" s="8">
        <v>-23.068639080000001</v>
      </c>
      <c r="P18" s="8">
        <v>-19.234630080000002</v>
      </c>
      <c r="Q18" s="8">
        <v>-25.951997500000001</v>
      </c>
      <c r="R18" s="8">
        <v>-25.329593030000002</v>
      </c>
      <c r="S18" s="8">
        <v>-7.9583244999999989</v>
      </c>
      <c r="T18" s="8">
        <v>-14.40621734</v>
      </c>
      <c r="U18" s="8">
        <v>-20.795866490000002</v>
      </c>
      <c r="V18" s="8">
        <v>-21.183902500000002</v>
      </c>
      <c r="W18" s="8">
        <v>-17.545652830000002</v>
      </c>
      <c r="X18" s="8">
        <v>-10.825311670000003</v>
      </c>
      <c r="Y18" s="8">
        <v>-21.106550949999999</v>
      </c>
      <c r="Z18" s="8">
        <v>-25.186136600000005</v>
      </c>
      <c r="AA18" s="8">
        <v>-26.626581519999998</v>
      </c>
      <c r="AB18" s="8">
        <v>-16.740971339999994</v>
      </c>
      <c r="AC18" s="8">
        <v>-31.017013939999998</v>
      </c>
      <c r="AD18" s="102">
        <v>-31.993431799999996</v>
      </c>
    </row>
    <row r="19" spans="1:30">
      <c r="A19" s="1">
        <v>14</v>
      </c>
      <c r="B19" s="5" t="s">
        <v>74</v>
      </c>
      <c r="C19" s="8">
        <f t="shared" si="1"/>
        <v>-19.634493191244463</v>
      </c>
      <c r="D19" s="8">
        <f t="shared" si="2"/>
        <v>-16.34528508163109</v>
      </c>
      <c r="E19" s="37">
        <f t="shared" si="5"/>
        <v>-0.16752192570369562</v>
      </c>
      <c r="H19" s="5" t="s">
        <v>74</v>
      </c>
      <c r="I19" s="8">
        <v>-21.924249370000002</v>
      </c>
      <c r="J19" s="8">
        <v>-22.688563729999998</v>
      </c>
      <c r="K19" s="8">
        <v>-26.025720270000001</v>
      </c>
      <c r="L19" s="8">
        <v>-31.623519569999999</v>
      </c>
      <c r="M19" s="8">
        <v>-24.68278321</v>
      </c>
      <c r="N19" s="8">
        <v>-25.371695099999997</v>
      </c>
      <c r="O19" s="8">
        <v>-20.449669059999998</v>
      </c>
      <c r="P19" s="8">
        <v>-28.768858439999995</v>
      </c>
      <c r="Q19" s="8">
        <v>-19.58196495</v>
      </c>
      <c r="R19" s="8">
        <v>-21.036490550000003</v>
      </c>
      <c r="S19" s="8">
        <v>-19.302472219999999</v>
      </c>
      <c r="T19" s="8">
        <v>-23.46560624</v>
      </c>
      <c r="U19" s="8">
        <v>-13.363573330000001</v>
      </c>
      <c r="V19" s="8">
        <v>-17.519024080000001</v>
      </c>
      <c r="W19" s="8">
        <v>-12.96304668</v>
      </c>
      <c r="X19" s="8">
        <v>-18.41070977</v>
      </c>
      <c r="Y19" s="8">
        <v>-12.002000430000004</v>
      </c>
      <c r="Z19" s="8">
        <v>-19.634493191244463</v>
      </c>
      <c r="AA19" s="8">
        <v>-15.4740785814855</v>
      </c>
      <c r="AB19" s="8">
        <v>-15.873219080000139</v>
      </c>
      <c r="AC19" s="8">
        <v>-15.109327309999999</v>
      </c>
      <c r="AD19" s="102">
        <v>-16.34528508163109</v>
      </c>
    </row>
    <row r="20" spans="1:30" ht="5.25" customHeight="1">
      <c r="A20" s="1">
        <v>15</v>
      </c>
      <c r="C20" s="112"/>
      <c r="D20" s="112"/>
      <c r="E20" s="39"/>
      <c r="AD20" s="98"/>
    </row>
    <row r="21" spans="1:30">
      <c r="A21" s="1">
        <v>16</v>
      </c>
      <c r="B21" s="6" t="s">
        <v>75</v>
      </c>
      <c r="C21" s="109">
        <f t="shared" si="1"/>
        <v>182.6666291241975</v>
      </c>
      <c r="D21" s="109">
        <f t="shared" si="2"/>
        <v>187.48750772443123</v>
      </c>
      <c r="E21" s="38">
        <f>D21/C21-1</f>
        <v>2.6391676593297886E-2</v>
      </c>
      <c r="H21" s="6" t="s">
        <v>75</v>
      </c>
      <c r="I21" s="9">
        <f t="shared" ref="I21:AB21" si="6">I9+I13</f>
        <v>180.42517725000002</v>
      </c>
      <c r="J21" s="9">
        <f t="shared" si="6"/>
        <v>183.80182912000004</v>
      </c>
      <c r="K21" s="9">
        <f t="shared" si="6"/>
        <v>201.17643882999991</v>
      </c>
      <c r="L21" s="9">
        <f t="shared" si="6"/>
        <v>227.32883830999998</v>
      </c>
      <c r="M21" s="9">
        <f t="shared" si="6"/>
        <v>192.00614295</v>
      </c>
      <c r="N21" s="9">
        <f t="shared" si="6"/>
        <v>181.85514917</v>
      </c>
      <c r="O21" s="9">
        <f t="shared" si="6"/>
        <v>183.66434009</v>
      </c>
      <c r="P21" s="9">
        <f t="shared" si="6"/>
        <v>240.17963458</v>
      </c>
      <c r="Q21" s="9">
        <f t="shared" si="6"/>
        <v>185.29252262999995</v>
      </c>
      <c r="R21" s="9">
        <f t="shared" si="6"/>
        <v>199.09571165000003</v>
      </c>
      <c r="S21" s="9">
        <f t="shared" si="6"/>
        <v>201.5084152</v>
      </c>
      <c r="T21" s="9">
        <f t="shared" si="6"/>
        <v>209.42698551131372</v>
      </c>
      <c r="U21" s="9">
        <f t="shared" si="6"/>
        <v>198.58701473000002</v>
      </c>
      <c r="V21" s="9">
        <f t="shared" si="6"/>
        <v>181.53457008999996</v>
      </c>
      <c r="W21" s="9">
        <f t="shared" si="6"/>
        <v>202.19980862000003</v>
      </c>
      <c r="X21" s="9">
        <f t="shared" si="6"/>
        <v>212.14453241907103</v>
      </c>
      <c r="Y21" s="9">
        <f t="shared" si="6"/>
        <v>172.33773868945599</v>
      </c>
      <c r="Z21" s="9">
        <f t="shared" si="6"/>
        <v>182.6666291241975</v>
      </c>
      <c r="AA21" s="9">
        <f t="shared" si="6"/>
        <v>103.81346044819753</v>
      </c>
      <c r="AB21" s="9">
        <f t="shared" si="6"/>
        <v>198.95359229228433</v>
      </c>
      <c r="AC21" s="9">
        <f>AC9+AC13</f>
        <v>179.16352580738285</v>
      </c>
      <c r="AD21" s="9">
        <f>AD9+AD13</f>
        <v>187.48750772443123</v>
      </c>
    </row>
    <row r="22" spans="1:30" ht="5.25" customHeight="1">
      <c r="A22" s="1">
        <v>17</v>
      </c>
      <c r="C22" s="112"/>
      <c r="D22" s="112">
        <f t="shared" si="2"/>
        <v>0</v>
      </c>
      <c r="E22" s="39"/>
      <c r="AD22" s="98"/>
    </row>
    <row r="23" spans="1:30">
      <c r="A23" s="1">
        <v>18</v>
      </c>
      <c r="B23" s="5" t="s">
        <v>76</v>
      </c>
      <c r="C23" s="8">
        <f t="shared" si="1"/>
        <v>-21.544319944213736</v>
      </c>
      <c r="D23" s="8">
        <f t="shared" si="2"/>
        <v>-21.183490919894481</v>
      </c>
      <c r="E23" s="36">
        <f>+D23/C23-1</f>
        <v>-1.674822065646886E-2</v>
      </c>
      <c r="H23" s="5" t="s">
        <v>76</v>
      </c>
      <c r="I23" s="8">
        <v>-17.04451195</v>
      </c>
      <c r="J23" s="8">
        <v>-17.660246110000003</v>
      </c>
      <c r="K23" s="8">
        <v>-19.13792746</v>
      </c>
      <c r="L23" s="8">
        <v>-22.942345899999999</v>
      </c>
      <c r="M23" s="8">
        <v>-20.83305013</v>
      </c>
      <c r="N23" s="8">
        <v>-19.99287172</v>
      </c>
      <c r="O23" s="8">
        <v>-19.41948554</v>
      </c>
      <c r="P23" s="8">
        <v>-19.52008206</v>
      </c>
      <c r="Q23" s="8">
        <v>-18.145634449999999</v>
      </c>
      <c r="R23" s="8">
        <v>-18.69958454</v>
      </c>
      <c r="S23" s="8">
        <v>-18.131862460000001</v>
      </c>
      <c r="T23" s="8">
        <v>-19.374417829999999</v>
      </c>
      <c r="U23" s="8">
        <v>-15.103110769999997</v>
      </c>
      <c r="V23" s="8">
        <v>-15.963176069999999</v>
      </c>
      <c r="W23" s="8">
        <v>-16.546217549999998</v>
      </c>
      <c r="X23" s="8">
        <v>-17.744413205142642</v>
      </c>
      <c r="Y23" s="8">
        <v>-21.26849432578625</v>
      </c>
      <c r="Z23" s="8">
        <v>-21.544319944213736</v>
      </c>
      <c r="AA23" s="8">
        <v>-19.299255428896753</v>
      </c>
      <c r="AB23" s="8">
        <v>-17.559487375259824</v>
      </c>
      <c r="AC23" s="8">
        <v>-20.241679390105503</v>
      </c>
      <c r="AD23" s="102">
        <v>-21.183490919894481</v>
      </c>
    </row>
    <row r="24" spans="1:30">
      <c r="A24" s="1">
        <v>19</v>
      </c>
      <c r="B24" s="5" t="s">
        <v>77</v>
      </c>
      <c r="C24" s="8">
        <f t="shared" si="1"/>
        <v>-14.381759890241124</v>
      </c>
      <c r="D24" s="8">
        <f t="shared" si="2"/>
        <v>-13.441127820000059</v>
      </c>
      <c r="E24" s="36">
        <f>+D24/C24-1</f>
        <v>-6.5404517765544123E-2</v>
      </c>
      <c r="H24" s="5" t="s">
        <v>77</v>
      </c>
      <c r="I24" s="8">
        <v>-8.5792266599999998</v>
      </c>
      <c r="J24" s="8">
        <v>-7.6647555899999995</v>
      </c>
      <c r="K24" s="8">
        <v>-8.0141252200000004</v>
      </c>
      <c r="L24" s="8">
        <v>0.44080515999999959</v>
      </c>
      <c r="M24" s="8">
        <v>-7.5951097599999997</v>
      </c>
      <c r="N24" s="8">
        <v>-7.8615174199999984</v>
      </c>
      <c r="O24" s="8">
        <v>-7.9049100199999991</v>
      </c>
      <c r="P24" s="8">
        <v>-10.4942574</v>
      </c>
      <c r="Q24" s="8">
        <v>-5.5704710899999998</v>
      </c>
      <c r="R24" s="8">
        <v>-6.6276518099999997</v>
      </c>
      <c r="S24" s="8">
        <v>-4.66054455</v>
      </c>
      <c r="T24" s="8">
        <v>-7.1157827199999995</v>
      </c>
      <c r="U24" s="8">
        <v>-11.136667629999998</v>
      </c>
      <c r="V24" s="8">
        <v>-10.306963700000001</v>
      </c>
      <c r="W24" s="8">
        <v>-10.667568380000002</v>
      </c>
      <c r="X24" s="8">
        <v>-14.458320406060349</v>
      </c>
      <c r="Y24" s="8">
        <v>-13.714933041244359</v>
      </c>
      <c r="Z24" s="8">
        <v>-14.381759890241124</v>
      </c>
      <c r="AA24" s="8">
        <v>-12.679123930000056</v>
      </c>
      <c r="AB24" s="8">
        <v>-17.126937789999957</v>
      </c>
      <c r="AC24" s="8">
        <v>-13.330457380000013</v>
      </c>
      <c r="AD24" s="102">
        <v>-13.441127820000059</v>
      </c>
    </row>
    <row r="25" spans="1:30">
      <c r="A25" s="1">
        <v>20</v>
      </c>
      <c r="B25" s="5" t="s">
        <v>78</v>
      </c>
      <c r="C25" s="8">
        <f t="shared" si="1"/>
        <v>-52.134216937046602</v>
      </c>
      <c r="D25" s="8">
        <f t="shared" si="2"/>
        <v>-55.281998485673071</v>
      </c>
      <c r="E25" s="36">
        <f t="shared" ref="E25" si="7">+D25/C25-1</f>
        <v>6.0378418120818678E-2</v>
      </c>
      <c r="H25" s="5" t="s">
        <v>78</v>
      </c>
      <c r="I25" s="8">
        <v>-59.572974270000003</v>
      </c>
      <c r="J25" s="8">
        <v>-60.371400770000001</v>
      </c>
      <c r="K25" s="8">
        <v>-59.531198900000007</v>
      </c>
      <c r="L25" s="8">
        <v>-44.012021590000003</v>
      </c>
      <c r="M25" s="8">
        <v>-58.61902585</v>
      </c>
      <c r="N25" s="8">
        <v>-58.823031590000006</v>
      </c>
      <c r="O25" s="8">
        <v>-59.493490899999998</v>
      </c>
      <c r="P25" s="8">
        <v>-60.019039800000002</v>
      </c>
      <c r="Q25" s="8">
        <v>-60.018540229999999</v>
      </c>
      <c r="R25" s="8">
        <v>-65.973431809999994</v>
      </c>
      <c r="S25" s="8">
        <v>-63.853536640000002</v>
      </c>
      <c r="T25" s="8">
        <v>-60.676873370000003</v>
      </c>
      <c r="U25" s="8">
        <v>-60.573092729999999</v>
      </c>
      <c r="V25" s="8">
        <v>-60.983484619999999</v>
      </c>
      <c r="W25" s="8">
        <v>-62.102695539999999</v>
      </c>
      <c r="X25" s="8">
        <v>-62.955401839999993</v>
      </c>
      <c r="Y25" s="8">
        <v>-55.426093312953405</v>
      </c>
      <c r="Z25" s="8">
        <v>-52.134216937046602</v>
      </c>
      <c r="AA25" s="8">
        <v>-52.951134153785105</v>
      </c>
      <c r="AB25" s="8">
        <v>-52.651230061246096</v>
      </c>
      <c r="AC25" s="8">
        <v>-52.821310546535116</v>
      </c>
      <c r="AD25" s="102">
        <v>-55.281998485673071</v>
      </c>
    </row>
    <row r="26" spans="1:30" ht="5.25" customHeight="1">
      <c r="A26" s="1">
        <v>21</v>
      </c>
      <c r="C26" s="112"/>
      <c r="D26" s="112"/>
      <c r="E26" s="39"/>
      <c r="AD26" s="98"/>
    </row>
    <row r="27" spans="1:30">
      <c r="A27" s="1">
        <v>22</v>
      </c>
      <c r="B27" s="6" t="s">
        <v>79</v>
      </c>
      <c r="C27" s="109">
        <f t="shared" si="1"/>
        <v>94.606332352696029</v>
      </c>
      <c r="D27" s="109">
        <f t="shared" si="2"/>
        <v>97.58089049886361</v>
      </c>
      <c r="E27" s="38">
        <f>D27/C27-1</f>
        <v>3.1441427568276392E-2</v>
      </c>
      <c r="H27" s="6" t="s">
        <v>79</v>
      </c>
      <c r="I27" s="9">
        <f t="shared" ref="I27:AB27" si="8">I25+I24+I23+I21</f>
        <v>95.228464370000012</v>
      </c>
      <c r="J27" s="9">
        <f t="shared" si="8"/>
        <v>98.105426650000027</v>
      </c>
      <c r="K27" s="9">
        <f t="shared" si="8"/>
        <v>114.49318724999991</v>
      </c>
      <c r="L27" s="9">
        <f t="shared" si="8"/>
        <v>160.81527597999997</v>
      </c>
      <c r="M27" s="9">
        <f t="shared" si="8"/>
        <v>104.95895720999999</v>
      </c>
      <c r="N27" s="9">
        <f t="shared" si="8"/>
        <v>95.177728439999996</v>
      </c>
      <c r="O27" s="9">
        <f t="shared" si="8"/>
        <v>96.846453629999999</v>
      </c>
      <c r="P27" s="9">
        <f t="shared" si="8"/>
        <v>150.14625531999999</v>
      </c>
      <c r="Q27" s="9">
        <f t="shared" si="8"/>
        <v>101.55787685999995</v>
      </c>
      <c r="R27" s="9">
        <f t="shared" si="8"/>
        <v>107.79504349000003</v>
      </c>
      <c r="S27" s="9">
        <f t="shared" si="8"/>
        <v>114.86247155000001</v>
      </c>
      <c r="T27" s="9">
        <f t="shared" si="8"/>
        <v>122.25991159131371</v>
      </c>
      <c r="U27" s="9">
        <f t="shared" si="8"/>
        <v>111.77414360000003</v>
      </c>
      <c r="V27" s="9">
        <f t="shared" si="8"/>
        <v>94.280945699999961</v>
      </c>
      <c r="W27" s="9">
        <f t="shared" si="8"/>
        <v>112.88332715000003</v>
      </c>
      <c r="X27" s="9">
        <f t="shared" si="8"/>
        <v>116.98639696786805</v>
      </c>
      <c r="Y27" s="9">
        <f>Y25+Y24+Y23+Y21</f>
        <v>81.928218009471976</v>
      </c>
      <c r="Z27" s="9">
        <f t="shared" si="8"/>
        <v>94.606332352696029</v>
      </c>
      <c r="AA27" s="9">
        <f t="shared" si="8"/>
        <v>18.88394693551561</v>
      </c>
      <c r="AB27" s="9">
        <f t="shared" si="8"/>
        <v>111.61593706577845</v>
      </c>
      <c r="AC27" s="9">
        <f>AC25+AC24+AC23+AC21</f>
        <v>92.770078490742222</v>
      </c>
      <c r="AD27" s="103">
        <f>AD25+AD24+AD23+AD21</f>
        <v>97.58089049886361</v>
      </c>
    </row>
    <row r="28" spans="1:30" ht="5.25" customHeight="1">
      <c r="A28" s="1">
        <v>23</v>
      </c>
      <c r="C28" s="112">
        <f t="shared" si="1"/>
        <v>0</v>
      </c>
      <c r="D28" s="113">
        <f t="shared" si="2"/>
        <v>0</v>
      </c>
      <c r="E28" s="39"/>
      <c r="I28" s="48"/>
      <c r="K28" s="48"/>
      <c r="M28" s="48"/>
      <c r="O28" s="48"/>
      <c r="Q28" s="48"/>
      <c r="R28" s="48"/>
      <c r="S28" s="48"/>
      <c r="T28" s="48"/>
      <c r="U28" s="48"/>
      <c r="V28" s="48"/>
      <c r="W28" s="48"/>
      <c r="X28" s="48"/>
      <c r="Y28" s="48"/>
      <c r="Z28" s="48"/>
      <c r="AA28" s="48"/>
      <c r="AB28" s="48"/>
      <c r="AC28" s="48"/>
      <c r="AD28" s="104"/>
    </row>
    <row r="29" spans="1:30">
      <c r="A29" s="1">
        <v>24</v>
      </c>
      <c r="B29" s="6" t="s">
        <v>80</v>
      </c>
      <c r="C29" s="109">
        <f>+HLOOKUP($C$6,$H$6:$AT$46,A29,FALSE)</f>
        <v>146.74054928974263</v>
      </c>
      <c r="D29" s="109">
        <f>+HLOOKUP($D$6,$H$6:$AT$46,A29,FALSE)</f>
        <v>152.86288898453668</v>
      </c>
      <c r="E29" s="38">
        <f>D29/C29-1</f>
        <v>4.1722207831629055E-2</v>
      </c>
      <c r="H29" s="6" t="s">
        <v>80</v>
      </c>
      <c r="I29" s="9">
        <f>+I21+I23+I24</f>
        <v>154.80143864000004</v>
      </c>
      <c r="J29" s="9">
        <f>+J21+J23+J24</f>
        <v>158.47682742000003</v>
      </c>
      <c r="K29" s="9">
        <f>+K21+K23+K24</f>
        <v>174.02438614999991</v>
      </c>
      <c r="L29" s="9">
        <f t="shared" ref="L29:X29" si="9">+L21+L23+L24</f>
        <v>204.82729756999998</v>
      </c>
      <c r="M29" s="9">
        <f t="shared" si="9"/>
        <v>163.57798306000001</v>
      </c>
      <c r="N29" s="9">
        <f t="shared" si="9"/>
        <v>154.00076002999998</v>
      </c>
      <c r="O29" s="9">
        <f t="shared" si="9"/>
        <v>156.33994453</v>
      </c>
      <c r="P29" s="9">
        <f t="shared" si="9"/>
        <v>210.16529512</v>
      </c>
      <c r="Q29" s="9">
        <f t="shared" si="9"/>
        <v>161.57641708999995</v>
      </c>
      <c r="R29" s="9">
        <f t="shared" si="9"/>
        <v>173.76847530000003</v>
      </c>
      <c r="S29" s="9">
        <f t="shared" si="9"/>
        <v>178.71600819</v>
      </c>
      <c r="T29" s="9">
        <f t="shared" si="9"/>
        <v>182.93678496131372</v>
      </c>
      <c r="U29" s="9">
        <f t="shared" si="9"/>
        <v>172.34723633000002</v>
      </c>
      <c r="V29" s="9">
        <f t="shared" si="9"/>
        <v>155.26443031999995</v>
      </c>
      <c r="W29" s="9">
        <f t="shared" si="9"/>
        <v>174.98602269000003</v>
      </c>
      <c r="X29" s="9">
        <f t="shared" si="9"/>
        <v>179.94179880786803</v>
      </c>
      <c r="Y29" s="9">
        <f>+Y21+Y23+Y24</f>
        <v>137.35431132242536</v>
      </c>
      <c r="Z29" s="9">
        <f>+'[1]EERR Cons.'!BO30-'[1]EERR Cons.'!BO28</f>
        <v>146.74054928974263</v>
      </c>
      <c r="AA29" s="9">
        <v>71.8350810880561</v>
      </c>
      <c r="AB29" s="9">
        <v>164.267167127025</v>
      </c>
      <c r="AC29" s="9">
        <f>+AC21+AC23+AC24</f>
        <v>145.59138903727734</v>
      </c>
      <c r="AD29" s="103">
        <f>+AD21+AD23+AD24</f>
        <v>152.86288898453668</v>
      </c>
    </row>
    <row r="30" spans="1:30" ht="5.25" customHeight="1">
      <c r="A30" s="1">
        <v>25</v>
      </c>
      <c r="C30" s="112"/>
      <c r="D30" s="112"/>
      <c r="E30" s="39"/>
      <c r="AD30" s="98"/>
    </row>
    <row r="31" spans="1:30">
      <c r="A31" s="1">
        <v>26</v>
      </c>
      <c r="B31" s="5" t="s">
        <v>81</v>
      </c>
      <c r="C31" s="8">
        <f t="shared" si="1"/>
        <v>1.1247754999999995</v>
      </c>
      <c r="D31" s="8">
        <f t="shared" si="2"/>
        <v>4.2250459843980348</v>
      </c>
      <c r="E31" s="36">
        <f>+D31/C31-1</f>
        <v>2.7563460302949672</v>
      </c>
      <c r="F31" s="33"/>
      <c r="G31" s="33"/>
      <c r="H31" s="5" t="s">
        <v>81</v>
      </c>
      <c r="I31" s="8">
        <v>2.5236214500000003</v>
      </c>
      <c r="J31" s="8">
        <v>2.7823693500000002</v>
      </c>
      <c r="K31" s="8">
        <v>3.1789319899999997</v>
      </c>
      <c r="L31" s="8">
        <v>4.2409520899999995</v>
      </c>
      <c r="M31" s="8">
        <v>4.85621904</v>
      </c>
      <c r="N31" s="8">
        <v>4.4943058100000002</v>
      </c>
      <c r="O31" s="8">
        <v>5.0033533800000001</v>
      </c>
      <c r="P31" s="8">
        <v>6.0128980599999995</v>
      </c>
      <c r="Q31" s="8">
        <v>6.3841863300000004</v>
      </c>
      <c r="R31" s="8">
        <v>4.8958357699999997</v>
      </c>
      <c r="S31" s="8">
        <v>4.9172992500000001</v>
      </c>
      <c r="T31" s="8">
        <v>5.9181313199999996</v>
      </c>
      <c r="U31" s="8">
        <v>5.0345027899999995</v>
      </c>
      <c r="V31" s="8">
        <v>2.9650799699999997</v>
      </c>
      <c r="W31" s="8">
        <v>1.7723986199999999</v>
      </c>
      <c r="X31" s="8">
        <v>1.4703000900000001</v>
      </c>
      <c r="Y31" s="8">
        <v>1.2911820900000002</v>
      </c>
      <c r="Z31" s="8">
        <v>1.1247754999999995</v>
      </c>
      <c r="AA31" s="8">
        <v>0.94209771000000098</v>
      </c>
      <c r="AB31" s="8">
        <v>1.6097711700000004</v>
      </c>
      <c r="AC31" s="8">
        <v>2.5259432800000003</v>
      </c>
      <c r="AD31" s="102">
        <v>4.2250459843980348</v>
      </c>
    </row>
    <row r="32" spans="1:30">
      <c r="A32" s="1">
        <v>27</v>
      </c>
      <c r="B32" s="5" t="s">
        <v>82</v>
      </c>
      <c r="C32" s="8">
        <f t="shared" si="1"/>
        <v>-21.403158571518993</v>
      </c>
      <c r="D32" s="8">
        <f t="shared" si="2"/>
        <v>-20.635669950752792</v>
      </c>
      <c r="E32" s="36">
        <f t="shared" ref="E32:E43" si="10">+D32/C32-1</f>
        <v>-3.58586616177059E-2</v>
      </c>
      <c r="F32" s="33"/>
      <c r="G32" s="33"/>
      <c r="H32" s="5" t="s">
        <v>82</v>
      </c>
      <c r="I32" s="8">
        <v>-20.230824169999998</v>
      </c>
      <c r="J32" s="8">
        <v>-20.18796966</v>
      </c>
      <c r="K32" s="8">
        <v>-21.837985680000003</v>
      </c>
      <c r="L32" s="8">
        <v>-22.69717919</v>
      </c>
      <c r="M32" s="8">
        <v>-21.131099630000001</v>
      </c>
      <c r="N32" s="8">
        <v>-21.067198480000002</v>
      </c>
      <c r="O32" s="8">
        <v>-20.895725410000001</v>
      </c>
      <c r="P32" s="8">
        <v>-20.77659963</v>
      </c>
      <c r="Q32" s="8">
        <v>-20.671587080000002</v>
      </c>
      <c r="R32" s="8">
        <v>-24.948332670000003</v>
      </c>
      <c r="S32" s="8">
        <v>-22.90039531</v>
      </c>
      <c r="T32" s="8">
        <v>-22.548721329999999</v>
      </c>
      <c r="U32" s="8">
        <v>-22.52007699</v>
      </c>
      <c r="V32" s="8">
        <v>-22.69825814</v>
      </c>
      <c r="W32" s="8">
        <v>-22.93371934</v>
      </c>
      <c r="X32" s="8">
        <v>-22.307162131803203</v>
      </c>
      <c r="Y32" s="8">
        <v>-22.189419768481009</v>
      </c>
      <c r="Z32" s="8">
        <v>-21.403158571518993</v>
      </c>
      <c r="AA32" s="8">
        <v>-20.987745436041475</v>
      </c>
      <c r="AB32" s="8">
        <v>-21.766330402300618</v>
      </c>
      <c r="AC32" s="8">
        <v>-20.906411121174919</v>
      </c>
      <c r="AD32" s="102">
        <v>-20.635669950752792</v>
      </c>
    </row>
    <row r="33" spans="1:30">
      <c r="A33" s="1">
        <v>28</v>
      </c>
      <c r="B33" s="5" t="s">
        <v>83</v>
      </c>
      <c r="C33" s="8">
        <f t="shared" si="1"/>
        <v>0.66380102249709749</v>
      </c>
      <c r="D33" s="8">
        <f t="shared" si="2"/>
        <v>-10.969921269768113</v>
      </c>
      <c r="E33" s="80" t="s">
        <v>50</v>
      </c>
      <c r="F33" s="33"/>
      <c r="G33" s="33"/>
      <c r="H33" s="5" t="s">
        <v>83</v>
      </c>
      <c r="I33" s="8">
        <v>0.55841687000000062</v>
      </c>
      <c r="J33" s="8">
        <v>0.81643913000000035</v>
      </c>
      <c r="K33" s="8">
        <v>2.7404837300000033</v>
      </c>
      <c r="L33" s="8">
        <v>4.0539890799999991</v>
      </c>
      <c r="M33" s="8">
        <v>-1.1133358300000005</v>
      </c>
      <c r="N33" s="8">
        <v>-6.8534151000000021</v>
      </c>
      <c r="O33" s="8">
        <v>-1.6043168900000007</v>
      </c>
      <c r="P33" s="8">
        <v>-3.0702768400000044</v>
      </c>
      <c r="Q33" s="8">
        <v>1.2623363700000001</v>
      </c>
      <c r="R33" s="8">
        <v>0.85936775000000187</v>
      </c>
      <c r="S33" s="8">
        <v>-7.7517798999999989</v>
      </c>
      <c r="T33" s="8">
        <v>-1.5457248899999978</v>
      </c>
      <c r="U33" s="8">
        <v>-4.8135680699999979</v>
      </c>
      <c r="V33" s="8">
        <v>4.9067024800000008</v>
      </c>
      <c r="W33" s="8">
        <v>2.1286611099999933</v>
      </c>
      <c r="X33" s="8">
        <v>3.48765462486777</v>
      </c>
      <c r="Y33" s="8">
        <v>-2.8008947524970997</v>
      </c>
      <c r="Z33" s="8">
        <v>0.66380102249709749</v>
      </c>
      <c r="AA33" s="8">
        <v>-10.346410574453801</v>
      </c>
      <c r="AB33" s="8">
        <v>-1.342467725717956</v>
      </c>
      <c r="AC33" s="8">
        <v>1.4815612706860124</v>
      </c>
      <c r="AD33" s="102">
        <v>-10.969921269768113</v>
      </c>
    </row>
    <row r="34" spans="1:30">
      <c r="A34" s="1">
        <v>29</v>
      </c>
      <c r="B34" s="5" t="s">
        <v>84</v>
      </c>
      <c r="C34" s="8">
        <f t="shared" si="1"/>
        <v>1.9524835000000005</v>
      </c>
      <c r="D34" s="8">
        <f t="shared" si="2"/>
        <v>2.6078981699999999</v>
      </c>
      <c r="E34" s="36">
        <f t="shared" si="10"/>
        <v>0.33568256530720975</v>
      </c>
      <c r="F34" s="33"/>
      <c r="G34" s="33"/>
      <c r="H34" s="5" t="s">
        <v>84</v>
      </c>
      <c r="I34" s="8">
        <v>0.73980449999999998</v>
      </c>
      <c r="J34" s="8">
        <v>1.1078972599999999</v>
      </c>
      <c r="K34" s="8">
        <v>1.2924579299999999</v>
      </c>
      <c r="L34" s="8">
        <v>-0.23659015999999999</v>
      </c>
      <c r="M34" s="8">
        <v>4.6503776200000004</v>
      </c>
      <c r="N34" s="8">
        <v>2.09918505</v>
      </c>
      <c r="O34" s="8">
        <v>2.82230545</v>
      </c>
      <c r="P34" s="8">
        <v>1.8170467399999999</v>
      </c>
      <c r="Q34" s="8">
        <v>2.3436588</v>
      </c>
      <c r="R34" s="8">
        <v>2.5646927799999997</v>
      </c>
      <c r="S34" s="8">
        <v>2.1804517300000001</v>
      </c>
      <c r="T34" s="8">
        <v>2.0129498799999999</v>
      </c>
      <c r="U34" s="8">
        <v>2.3433842899999999</v>
      </c>
      <c r="V34" s="8">
        <v>2.14213787</v>
      </c>
      <c r="W34" s="8">
        <v>2.18435165</v>
      </c>
      <c r="X34" s="8">
        <v>3.2800220100000002</v>
      </c>
      <c r="Y34" s="8">
        <v>1.37134892</v>
      </c>
      <c r="Z34" s="8">
        <v>1.9524835000000005</v>
      </c>
      <c r="AA34" s="8">
        <v>2.0504456300000009</v>
      </c>
      <c r="AB34" s="8">
        <v>1.3235566899999993</v>
      </c>
      <c r="AC34" s="8">
        <v>2.6146828799999997</v>
      </c>
      <c r="AD34" s="102">
        <v>2.6078981699999999</v>
      </c>
    </row>
    <row r="35" spans="1:30">
      <c r="A35" s="1">
        <v>30</v>
      </c>
      <c r="B35" s="5" t="s">
        <v>85</v>
      </c>
      <c r="C35" s="8">
        <f t="shared" si="1"/>
        <v>-22.663534266708815</v>
      </c>
      <c r="D35" s="8">
        <f t="shared" si="2"/>
        <v>-16.079428069851605</v>
      </c>
      <c r="E35" s="49">
        <f t="shared" si="10"/>
        <v>-0.29051542091247495</v>
      </c>
      <c r="F35" s="33"/>
      <c r="G35" s="33"/>
      <c r="H35" s="5" t="s">
        <v>85</v>
      </c>
      <c r="I35" s="8">
        <v>-4.6026092199999997</v>
      </c>
      <c r="J35" s="8">
        <v>14.586818990000001</v>
      </c>
      <c r="K35" s="8">
        <v>-4.4328011099999998</v>
      </c>
      <c r="L35" s="8">
        <v>-90.356327449999995</v>
      </c>
      <c r="M35" s="8">
        <v>-4.1748449599999997</v>
      </c>
      <c r="N35" s="8">
        <v>-9.675633610000002</v>
      </c>
      <c r="O35" s="8">
        <v>-5.4907606900000001</v>
      </c>
      <c r="P35" s="8">
        <v>-34.22733968</v>
      </c>
      <c r="Q35" s="8">
        <v>-4.5141263599999997</v>
      </c>
      <c r="R35" s="8">
        <v>-10.757166999999999</v>
      </c>
      <c r="S35" s="8">
        <v>-9.9799288900000001</v>
      </c>
      <c r="T35" s="8">
        <v>-84.094405260000002</v>
      </c>
      <c r="U35" s="8">
        <v>-29.421527419999997</v>
      </c>
      <c r="V35" s="8">
        <v>-9.4264486699999992</v>
      </c>
      <c r="W35" s="8">
        <v>-7.9983524999999993</v>
      </c>
      <c r="X35" s="8">
        <v>-193.31770803000001</v>
      </c>
      <c r="Y35" s="8">
        <v>-21.538120462046809</v>
      </c>
      <c r="Z35" s="8">
        <v>-22.663534266708815</v>
      </c>
      <c r="AA35" s="8">
        <v>812.75313754050126</v>
      </c>
      <c r="AB35" s="8">
        <v>-161.90484948137998</v>
      </c>
      <c r="AC35" s="8">
        <v>-16.216410865869985</v>
      </c>
      <c r="AD35" s="102">
        <v>-16.079428069851605</v>
      </c>
    </row>
    <row r="36" spans="1:30" ht="5.25" customHeight="1">
      <c r="A36" s="1">
        <v>31</v>
      </c>
      <c r="C36" s="112"/>
      <c r="D36" s="112"/>
      <c r="E36" s="39"/>
    </row>
    <row r="37" spans="1:30">
      <c r="A37" s="1">
        <v>32</v>
      </c>
      <c r="B37" s="6" t="s">
        <v>86</v>
      </c>
      <c r="C37" s="109">
        <f t="shared" si="1"/>
        <v>-40.325632815730714</v>
      </c>
      <c r="D37" s="109">
        <f t="shared" si="2"/>
        <v>-40.852075135974474</v>
      </c>
      <c r="E37" s="90">
        <f t="shared" si="10"/>
        <v>1.3054781375641422E-2</v>
      </c>
      <c r="F37" s="33"/>
      <c r="G37" s="33"/>
      <c r="H37" s="6" t="s">
        <v>86</v>
      </c>
      <c r="I37" s="9">
        <f t="shared" ref="I37:AC37" si="11">SUM(I31:I35)</f>
        <v>-21.011590569999996</v>
      </c>
      <c r="J37" s="9">
        <f t="shared" si="11"/>
        <v>-0.89444493000000058</v>
      </c>
      <c r="K37" s="9">
        <f t="shared" si="11"/>
        <v>-19.058913140000001</v>
      </c>
      <c r="L37" s="9">
        <f t="shared" si="11"/>
        <v>-104.99515563</v>
      </c>
      <c r="M37" s="9">
        <f t="shared" si="11"/>
        <v>-16.91268376</v>
      </c>
      <c r="N37" s="9">
        <f t="shared" si="11"/>
        <v>-31.002756330000008</v>
      </c>
      <c r="O37" s="9">
        <f t="shared" si="11"/>
        <v>-20.165144160000001</v>
      </c>
      <c r="P37" s="9">
        <f t="shared" si="11"/>
        <v>-50.244271350000005</v>
      </c>
      <c r="Q37" s="9">
        <f t="shared" si="11"/>
        <v>-15.195531940000002</v>
      </c>
      <c r="R37" s="9">
        <f t="shared" si="11"/>
        <v>-27.385603370000002</v>
      </c>
      <c r="S37" s="9">
        <f t="shared" si="11"/>
        <v>-33.534353119999999</v>
      </c>
      <c r="T37" s="9">
        <f t="shared" si="11"/>
        <v>-100.25777028</v>
      </c>
      <c r="U37" s="9">
        <f t="shared" si="11"/>
        <v>-49.377285399999998</v>
      </c>
      <c r="V37" s="9">
        <f t="shared" si="11"/>
        <v>-22.110786490000002</v>
      </c>
      <c r="W37" s="9">
        <f t="shared" si="11"/>
        <v>-24.846660460000006</v>
      </c>
      <c r="X37" s="9">
        <f t="shared" si="11"/>
        <v>-207.38689343693545</v>
      </c>
      <c r="Y37" s="9">
        <f t="shared" si="11"/>
        <v>-43.865903973024921</v>
      </c>
      <c r="Z37" s="9">
        <f t="shared" si="11"/>
        <v>-40.325632815730714</v>
      </c>
      <c r="AA37" s="9">
        <f t="shared" si="11"/>
        <v>784.41152487000602</v>
      </c>
      <c r="AB37" s="9">
        <f t="shared" si="11"/>
        <v>-182.08031974939854</v>
      </c>
      <c r="AC37" s="9">
        <f t="shared" si="11"/>
        <v>-30.500634556358893</v>
      </c>
      <c r="AD37" s="103">
        <f>SUM(AD31:AD35)</f>
        <v>-40.852075135974474</v>
      </c>
    </row>
    <row r="38" spans="1:30" ht="5.25" customHeight="1">
      <c r="A38" s="1">
        <v>33</v>
      </c>
      <c r="C38" s="112"/>
      <c r="D38" s="112"/>
      <c r="E38" s="94"/>
      <c r="AD38" s="98"/>
    </row>
    <row r="39" spans="1:30">
      <c r="A39" s="1">
        <v>34</v>
      </c>
      <c r="B39" s="6" t="s">
        <v>87</v>
      </c>
      <c r="C39" s="109">
        <f t="shared" si="1"/>
        <v>54.280699536965315</v>
      </c>
      <c r="D39" s="109">
        <f t="shared" si="2"/>
        <v>56.728815362889137</v>
      </c>
      <c r="E39" s="90">
        <f t="shared" si="10"/>
        <v>4.5101036773791847E-2</v>
      </c>
      <c r="F39" s="33"/>
      <c r="G39" s="33"/>
      <c r="H39" s="6" t="s">
        <v>87</v>
      </c>
      <c r="I39" s="9">
        <f t="shared" ref="I39:AC39" si="12">I37+I27</f>
        <v>74.216873800000016</v>
      </c>
      <c r="J39" s="9">
        <f t="shared" si="12"/>
        <v>97.210981720000021</v>
      </c>
      <c r="K39" s="9">
        <f t="shared" si="12"/>
        <v>95.434274109999905</v>
      </c>
      <c r="L39" s="9">
        <f t="shared" si="12"/>
        <v>55.820120349999968</v>
      </c>
      <c r="M39" s="9">
        <f t="shared" si="12"/>
        <v>88.046273450000001</v>
      </c>
      <c r="N39" s="9">
        <f t="shared" si="12"/>
        <v>64.174972109999985</v>
      </c>
      <c r="O39" s="9">
        <f t="shared" si="12"/>
        <v>76.681309470000002</v>
      </c>
      <c r="P39" s="9">
        <f t="shared" si="12"/>
        <v>99.901983969999989</v>
      </c>
      <c r="Q39" s="9">
        <f t="shared" si="12"/>
        <v>86.362344919999941</v>
      </c>
      <c r="R39" s="9">
        <f t="shared" si="12"/>
        <v>80.409440120000028</v>
      </c>
      <c r="S39" s="9">
        <f t="shared" si="12"/>
        <v>81.328118430000018</v>
      </c>
      <c r="T39" s="9">
        <f t="shared" si="12"/>
        <v>22.002141311313707</v>
      </c>
      <c r="U39" s="9">
        <f t="shared" si="12"/>
        <v>62.396858200000032</v>
      </c>
      <c r="V39" s="9">
        <f t="shared" si="12"/>
        <v>72.170159209999952</v>
      </c>
      <c r="W39" s="9">
        <f t="shared" si="12"/>
        <v>88.036666690000018</v>
      </c>
      <c r="X39" s="9">
        <f t="shared" si="12"/>
        <v>-90.400496469067406</v>
      </c>
      <c r="Y39" s="9">
        <f t="shared" si="12"/>
        <v>38.062314036447056</v>
      </c>
      <c r="Z39" s="9">
        <f t="shared" si="12"/>
        <v>54.280699536965315</v>
      </c>
      <c r="AA39" s="9">
        <f t="shared" si="12"/>
        <v>803.29547180552163</v>
      </c>
      <c r="AB39" s="9">
        <f t="shared" si="12"/>
        <v>-70.464382683620087</v>
      </c>
      <c r="AC39" s="9">
        <f t="shared" si="12"/>
        <v>62.269443934383332</v>
      </c>
      <c r="AD39" s="103">
        <f t="shared" ref="AD39" si="13">AD37+AD27</f>
        <v>56.728815362889137</v>
      </c>
    </row>
    <row r="40" spans="1:30" ht="5.25" customHeight="1">
      <c r="A40" s="1">
        <v>35</v>
      </c>
      <c r="C40" s="112"/>
      <c r="D40" s="112"/>
      <c r="E40" s="94"/>
      <c r="AD40" s="98"/>
    </row>
    <row r="41" spans="1:30">
      <c r="A41" s="1">
        <v>36</v>
      </c>
      <c r="B41" s="5" t="s">
        <v>88</v>
      </c>
      <c r="C41" s="8">
        <f t="shared" si="1"/>
        <v>-21.395758066124547</v>
      </c>
      <c r="D41" s="8">
        <f t="shared" si="2"/>
        <v>-19.026564867421037</v>
      </c>
      <c r="E41" s="49">
        <f t="shared" si="10"/>
        <v>-0.1107319119697191</v>
      </c>
      <c r="F41" s="33"/>
      <c r="G41" s="33"/>
      <c r="H41" s="5" t="s">
        <v>88</v>
      </c>
      <c r="I41" s="8">
        <v>-13.69505232</v>
      </c>
      <c r="J41" s="8">
        <v>-18.882848859999999</v>
      </c>
      <c r="K41" s="8">
        <v>-25.223481329999998</v>
      </c>
      <c r="L41" s="8">
        <v>23.721189170000002</v>
      </c>
      <c r="M41" s="8">
        <v>-23.63957486</v>
      </c>
      <c r="N41" s="8">
        <v>-19.410159239999999</v>
      </c>
      <c r="O41" s="8">
        <v>-22.801540859999999</v>
      </c>
      <c r="P41" s="8">
        <v>-32.56690244</v>
      </c>
      <c r="Q41" s="8">
        <v>-20.027774229999999</v>
      </c>
      <c r="R41" s="8">
        <v>-19.03428903</v>
      </c>
      <c r="S41" s="8">
        <v>-26.635552539999999</v>
      </c>
      <c r="T41" s="8">
        <v>-2.5187302100000011</v>
      </c>
      <c r="U41" s="8">
        <v>-21.937182589999999</v>
      </c>
      <c r="V41" s="8">
        <v>-22.502922009999999</v>
      </c>
      <c r="W41" s="8">
        <v>-25.82951456</v>
      </c>
      <c r="X41" s="8">
        <v>27.518141006061192</v>
      </c>
      <c r="Y41" s="8">
        <v>-79.278427563875454</v>
      </c>
      <c r="Z41" s="8">
        <v>-21.395758066124547</v>
      </c>
      <c r="AA41" s="8">
        <v>-202.3945264733305</v>
      </c>
      <c r="AB41" s="8">
        <v>18.076551095056629</v>
      </c>
      <c r="AC41" s="8">
        <v>-6.3894801624248103</v>
      </c>
      <c r="AD41" s="102">
        <v>-19.026564867421037</v>
      </c>
    </row>
    <row r="42" spans="1:30" ht="6.75" customHeight="1">
      <c r="A42" s="1">
        <v>37</v>
      </c>
      <c r="C42" s="112"/>
      <c r="D42" s="112"/>
      <c r="E42" s="94"/>
      <c r="AD42" s="98"/>
    </row>
    <row r="43" spans="1:30">
      <c r="A43" s="1">
        <v>38</v>
      </c>
      <c r="B43" s="3" t="s">
        <v>89</v>
      </c>
      <c r="C43" s="114">
        <f t="shared" si="1"/>
        <v>32.884941470840772</v>
      </c>
      <c r="D43" s="114">
        <f t="shared" si="2"/>
        <v>37.7022504954681</v>
      </c>
      <c r="E43" s="51">
        <f t="shared" si="10"/>
        <v>0.14648981598154465</v>
      </c>
      <c r="F43" s="33"/>
      <c r="G43" s="33"/>
      <c r="H43" s="3" t="s">
        <v>89</v>
      </c>
      <c r="I43" s="10">
        <f t="shared" ref="I43:AC43" si="14">I39+I41</f>
        <v>60.521821480000014</v>
      </c>
      <c r="J43" s="10">
        <f t="shared" si="14"/>
        <v>78.328132860000025</v>
      </c>
      <c r="K43" s="10">
        <f t="shared" si="14"/>
        <v>70.210792779999906</v>
      </c>
      <c r="L43" s="10">
        <f t="shared" si="14"/>
        <v>79.54130951999997</v>
      </c>
      <c r="M43" s="10">
        <f t="shared" si="14"/>
        <v>64.406698590000005</v>
      </c>
      <c r="N43" s="10">
        <f t="shared" si="14"/>
        <v>44.764812869999986</v>
      </c>
      <c r="O43" s="10">
        <f t="shared" si="14"/>
        <v>53.879768609999999</v>
      </c>
      <c r="P43" s="10">
        <f t="shared" si="14"/>
        <v>67.335081529999997</v>
      </c>
      <c r="Q43" s="10">
        <f t="shared" si="14"/>
        <v>66.334570689999936</v>
      </c>
      <c r="R43" s="10">
        <f t="shared" si="14"/>
        <v>61.375151090000031</v>
      </c>
      <c r="S43" s="10">
        <f t="shared" si="14"/>
        <v>54.692565890000019</v>
      </c>
      <c r="T43" s="10">
        <f t="shared" si="14"/>
        <v>19.483411101313706</v>
      </c>
      <c r="U43" s="10">
        <f t="shared" si="14"/>
        <v>40.459675610000033</v>
      </c>
      <c r="V43" s="10">
        <f t="shared" si="14"/>
        <v>49.667237199999953</v>
      </c>
      <c r="W43" s="10">
        <f t="shared" si="14"/>
        <v>62.207152130000019</v>
      </c>
      <c r="X43" s="17">
        <f>X39+X41</f>
        <v>-62.882355463006213</v>
      </c>
      <c r="Y43" s="17">
        <f t="shared" si="14"/>
        <v>-41.216113527428398</v>
      </c>
      <c r="Z43" s="17">
        <f t="shared" si="14"/>
        <v>32.884941470840772</v>
      </c>
      <c r="AA43" s="17">
        <f t="shared" si="14"/>
        <v>600.9009453321911</v>
      </c>
      <c r="AB43" s="17">
        <f t="shared" si="14"/>
        <v>-52.387831588563458</v>
      </c>
      <c r="AC43" s="17">
        <f t="shared" si="14"/>
        <v>55.879963771958522</v>
      </c>
      <c r="AD43" s="105">
        <f t="shared" ref="AD43" si="15">AD39+AD41</f>
        <v>37.7022504954681</v>
      </c>
    </row>
    <row r="44" spans="1:30" ht="5.25" customHeight="1">
      <c r="A44" s="1">
        <v>39</v>
      </c>
      <c r="C44" s="112"/>
      <c r="D44" s="112"/>
      <c r="E44" s="94"/>
      <c r="AD44" s="98"/>
    </row>
    <row r="45" spans="1:30">
      <c r="A45" s="1">
        <v>40</v>
      </c>
      <c r="B45" s="5" t="s">
        <v>90</v>
      </c>
      <c r="C45" s="8">
        <f t="shared" si="1"/>
        <v>35.09246243742836</v>
      </c>
      <c r="D45" s="8">
        <f t="shared" si="2"/>
        <v>38.84162958546812</v>
      </c>
      <c r="E45" s="49" t="s">
        <v>50</v>
      </c>
      <c r="F45" s="33"/>
      <c r="G45" s="33"/>
      <c r="H45" s="5" t="s">
        <v>90</v>
      </c>
      <c r="I45" s="8">
        <v>56.902500880000005</v>
      </c>
      <c r="J45" s="8">
        <v>67.315819309999995</v>
      </c>
      <c r="K45" s="8">
        <v>70.133168250000011</v>
      </c>
      <c r="L45" s="8">
        <v>76.633404929999998</v>
      </c>
      <c r="M45" s="8">
        <v>65.157573959999993</v>
      </c>
      <c r="N45" s="8">
        <v>46.496960739999999</v>
      </c>
      <c r="O45" s="8">
        <v>56.817234620000008</v>
      </c>
      <c r="P45" s="8">
        <v>71.850721269999994</v>
      </c>
      <c r="Q45" s="8">
        <v>64.403329459999995</v>
      </c>
      <c r="R45" s="8">
        <v>61.31662017</v>
      </c>
      <c r="S45" s="8">
        <v>59.087229970000003</v>
      </c>
      <c r="T45" s="8">
        <v>18.238692839152353</v>
      </c>
      <c r="U45" s="8">
        <v>43.699793619999994</v>
      </c>
      <c r="V45" s="8">
        <v>54.130137500000004</v>
      </c>
      <c r="W45" s="8">
        <v>64.605734240000004</v>
      </c>
      <c r="X45" s="8">
        <v>0.45741877699381206</v>
      </c>
      <c r="Y45" s="8">
        <v>-38.892376677428295</v>
      </c>
      <c r="Z45" s="8">
        <v>35.09246243742836</v>
      </c>
      <c r="AA45" s="8">
        <v>604.15234692999991</v>
      </c>
      <c r="AB45" s="8">
        <v>-55.052248128563633</v>
      </c>
      <c r="AC45" s="8">
        <v>47.626031201958433</v>
      </c>
      <c r="AD45" s="102">
        <v>38.84162958546812</v>
      </c>
    </row>
    <row r="46" spans="1:30">
      <c r="A46" s="1">
        <v>41</v>
      </c>
      <c r="B46" s="5" t="s">
        <v>91</v>
      </c>
      <c r="C46" s="8">
        <f>+HLOOKUP($C$6,$H$6:$AT$46,A46,FALSE)</f>
        <v>-2.2075209600000001</v>
      </c>
      <c r="D46" s="8">
        <f t="shared" si="2"/>
        <v>-1.1350231899999992</v>
      </c>
      <c r="E46" s="49" t="s">
        <v>50</v>
      </c>
      <c r="F46" s="33"/>
      <c r="G46" s="33"/>
      <c r="H46" s="5" t="s">
        <v>91</v>
      </c>
      <c r="I46" s="8">
        <v>3.6193206</v>
      </c>
      <c r="J46" s="8">
        <v>11.012313550000002</v>
      </c>
      <c r="K46" s="8">
        <v>7.7624529999999914E-2</v>
      </c>
      <c r="L46" s="8">
        <v>2.90790405</v>
      </c>
      <c r="M46" s="8">
        <v>-0.7505204999999997</v>
      </c>
      <c r="N46" s="8">
        <v>-1.7321478700000001</v>
      </c>
      <c r="O46" s="8">
        <v>-2.9374660100000001</v>
      </c>
      <c r="P46" s="8">
        <v>-4.5044716199999995</v>
      </c>
      <c r="Q46" s="8">
        <v>1.1312412300000148</v>
      </c>
      <c r="R46" s="8">
        <v>5.8530919999999986E-2</v>
      </c>
      <c r="S46" s="8">
        <v>-4.3946640800000001</v>
      </c>
      <c r="T46" s="8">
        <v>1.2447182600000002</v>
      </c>
      <c r="U46" s="8">
        <v>-3.2401180099999998</v>
      </c>
      <c r="V46" s="8">
        <v>-4.4629003100000002</v>
      </c>
      <c r="W46" s="8">
        <v>-2.39858211</v>
      </c>
      <c r="X46" s="8">
        <v>-63.323743620000002</v>
      </c>
      <c r="Y46" s="8">
        <v>-2.32373685</v>
      </c>
      <c r="Z46" s="8">
        <v>-2.2075209600000001</v>
      </c>
      <c r="AA46" s="8">
        <v>-3.2498031899999997</v>
      </c>
      <c r="AB46" s="8">
        <v>2.663956750000001</v>
      </c>
      <c r="AC46" s="8">
        <v>8.2599789799999996</v>
      </c>
      <c r="AD46" s="102">
        <v>-1.1350231899999992</v>
      </c>
    </row>
    <row r="47" spans="1:30">
      <c r="C47" s="112"/>
      <c r="D47" s="112"/>
    </row>
    <row r="48" spans="1:30">
      <c r="I48" s="33"/>
      <c r="J48" s="33"/>
      <c r="K48" s="33"/>
      <c r="L48" s="33"/>
      <c r="M48" s="33"/>
      <c r="N48" s="33"/>
      <c r="O48" s="33"/>
      <c r="S48" s="33"/>
      <c r="T48" s="33"/>
      <c r="U48" s="33"/>
      <c r="V48" s="33"/>
      <c r="W48" s="33"/>
      <c r="X48" s="33"/>
      <c r="Y48" s="33"/>
      <c r="Z48" s="33"/>
      <c r="AA48" s="33"/>
      <c r="AB48" s="33"/>
      <c r="AC48" s="33"/>
    </row>
    <row r="49" spans="2:5" ht="76.5" customHeight="1">
      <c r="B49" s="120" t="s">
        <v>92</v>
      </c>
      <c r="C49" s="120"/>
      <c r="D49" s="120"/>
      <c r="E49" s="120"/>
    </row>
    <row r="50" spans="2:5" ht="207" customHeight="1">
      <c r="B50" s="120"/>
      <c r="C50" s="120"/>
      <c r="D50" s="120"/>
      <c r="E50" s="120"/>
    </row>
  </sheetData>
  <mergeCells count="27">
    <mergeCell ref="AB6:AB7"/>
    <mergeCell ref="U6:U7"/>
    <mergeCell ref="T6:T7"/>
    <mergeCell ref="O6:O7"/>
    <mergeCell ref="S6:S7"/>
    <mergeCell ref="X6:X7"/>
    <mergeCell ref="R6:R7"/>
    <mergeCell ref="P6:P7"/>
    <mergeCell ref="Q6:Q7"/>
    <mergeCell ref="AA6:AA7"/>
    <mergeCell ref="Z6:Z7"/>
    <mergeCell ref="AD6:AD7"/>
    <mergeCell ref="K6:K7"/>
    <mergeCell ref="L6:L7"/>
    <mergeCell ref="M6:M7"/>
    <mergeCell ref="B50:E50"/>
    <mergeCell ref="I6:I7"/>
    <mergeCell ref="J6:J7"/>
    <mergeCell ref="C6:C7"/>
    <mergeCell ref="D6:D7"/>
    <mergeCell ref="E6:E7"/>
    <mergeCell ref="B49:E49"/>
    <mergeCell ref="AC6:AC7"/>
    <mergeCell ref="N6:N7"/>
    <mergeCell ref="Y6:Y7"/>
    <mergeCell ref="W6:W7"/>
    <mergeCell ref="V6:V7"/>
  </mergeCells>
  <phoneticPr fontId="14" type="noConversion"/>
  <pageMargins left="0.7" right="0.7" top="0.75" bottom="0.75" header="0.3" footer="0.3"/>
  <pageSetup orientation="portrait" r:id="rId1"/>
  <ignoredErrors>
    <ignoredError sqref="P9" formula="1"/>
  </ignoredError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AQ73"/>
  <sheetViews>
    <sheetView topLeftCell="B6" zoomScaleNormal="100" zoomScaleSheetLayoutView="100" workbookViewId="0">
      <selection activeCell="F19" sqref="F19"/>
    </sheetView>
  </sheetViews>
  <sheetFormatPr baseColWidth="10" defaultColWidth="11.42578125" defaultRowHeight="15"/>
  <cols>
    <col min="1" max="1" width="11.42578125" style="1" hidden="1" customWidth="1"/>
    <col min="2" max="2" width="38.5703125" style="1" customWidth="1"/>
    <col min="3" max="4" width="11.42578125" style="1"/>
    <col min="5" max="5" width="11.7109375" style="1" bestFit="1" customWidth="1"/>
    <col min="6" max="7" width="11.42578125" style="1"/>
    <col min="8" max="8" width="42.28515625" style="1" customWidth="1"/>
    <col min="9" max="20" width="11.42578125" style="1" hidden="1" customWidth="1"/>
    <col min="21" max="36" width="11.42578125" style="1" customWidth="1"/>
    <col min="37" max="16384" width="11.42578125" style="1"/>
  </cols>
  <sheetData>
    <row r="2" spans="1:42">
      <c r="F2" s="116"/>
    </row>
    <row r="3" spans="1:42">
      <c r="F3" s="55"/>
    </row>
    <row r="5" spans="1:42" ht="23.25">
      <c r="B5" s="12" t="s">
        <v>93</v>
      </c>
      <c r="C5" s="13"/>
      <c r="D5" s="13"/>
      <c r="E5" s="13"/>
      <c r="H5" s="12" t="s">
        <v>93</v>
      </c>
      <c r="I5" s="13"/>
      <c r="J5" s="13"/>
      <c r="K5" s="13"/>
      <c r="L5" s="13"/>
      <c r="M5" s="13"/>
      <c r="N5" s="13"/>
      <c r="O5" s="13"/>
      <c r="P5" s="13"/>
      <c r="Q5" s="13"/>
      <c r="R5" s="13"/>
      <c r="S5" s="13"/>
      <c r="T5" s="13"/>
      <c r="U5" s="13"/>
      <c r="V5" s="13"/>
      <c r="W5" s="13"/>
      <c r="X5" s="13"/>
      <c r="Y5" s="13"/>
      <c r="Z5" s="13"/>
      <c r="AA5" s="13"/>
      <c r="AB5" s="13"/>
      <c r="AC5" s="13"/>
      <c r="AD5" s="13"/>
      <c r="AE5" s="13"/>
      <c r="AF5" s="13"/>
      <c r="AG5" s="13"/>
      <c r="AH5" s="13"/>
      <c r="AI5" s="13"/>
      <c r="AJ5" s="13"/>
      <c r="AK5" s="13"/>
      <c r="AL5" s="13"/>
      <c r="AM5" s="13"/>
      <c r="AN5" s="13"/>
      <c r="AO5" s="13"/>
      <c r="AP5" s="13"/>
    </row>
    <row r="7" spans="1:42">
      <c r="A7" s="1">
        <v>1</v>
      </c>
      <c r="B7" s="3" t="s">
        <v>94</v>
      </c>
      <c r="C7" s="117" t="s">
        <v>34</v>
      </c>
      <c r="D7" s="117" t="s">
        <v>148</v>
      </c>
      <c r="E7" s="117" t="s">
        <v>95</v>
      </c>
      <c r="H7" s="3" t="s">
        <v>94</v>
      </c>
      <c r="I7" s="73" t="s">
        <v>6</v>
      </c>
      <c r="J7" s="73" t="s">
        <v>7</v>
      </c>
      <c r="K7" s="73" t="s">
        <v>8</v>
      </c>
      <c r="L7" s="73" t="s">
        <v>9</v>
      </c>
      <c r="M7" s="73" t="s">
        <v>10</v>
      </c>
      <c r="N7" s="73" t="s">
        <v>11</v>
      </c>
      <c r="O7" s="73" t="s">
        <v>12</v>
      </c>
      <c r="P7" s="73" t="s">
        <v>13</v>
      </c>
      <c r="Q7" s="73" t="s">
        <v>14</v>
      </c>
      <c r="R7" s="73" t="s">
        <v>15</v>
      </c>
      <c r="S7" s="73" t="s">
        <v>16</v>
      </c>
      <c r="T7" s="73" t="s">
        <v>17</v>
      </c>
      <c r="U7" s="117" t="s">
        <v>18</v>
      </c>
      <c r="V7" s="117" t="s">
        <v>19</v>
      </c>
      <c r="W7" s="117" t="s">
        <v>20</v>
      </c>
      <c r="X7" s="117" t="s">
        <v>21</v>
      </c>
      <c r="Y7" s="117" t="s">
        <v>22</v>
      </c>
      <c r="Z7" s="117" t="s">
        <v>23</v>
      </c>
      <c r="AA7" s="117" t="s">
        <v>24</v>
      </c>
      <c r="AB7" s="117" t="s">
        <v>25</v>
      </c>
      <c r="AC7" s="117" t="s">
        <v>26</v>
      </c>
      <c r="AD7" s="117" t="s">
        <v>27</v>
      </c>
      <c r="AE7" s="117" t="s">
        <v>28</v>
      </c>
      <c r="AF7" s="117" t="s">
        <v>29</v>
      </c>
      <c r="AG7" s="117" t="s">
        <v>30</v>
      </c>
      <c r="AH7" s="117" t="s">
        <v>31</v>
      </c>
      <c r="AI7" s="117" t="s">
        <v>32</v>
      </c>
      <c r="AJ7" s="117" t="s">
        <v>33</v>
      </c>
      <c r="AK7" s="117" t="s">
        <v>2</v>
      </c>
      <c r="AL7" s="117" t="s">
        <v>34</v>
      </c>
      <c r="AM7" s="117" t="s">
        <v>35</v>
      </c>
      <c r="AN7" s="117" t="s">
        <v>36</v>
      </c>
      <c r="AO7" s="117" t="s">
        <v>3</v>
      </c>
      <c r="AP7" s="117" t="s">
        <v>148</v>
      </c>
    </row>
    <row r="8" spans="1:42">
      <c r="A8" s="1">
        <v>2</v>
      </c>
      <c r="B8" s="3" t="s">
        <v>64</v>
      </c>
      <c r="C8" s="117"/>
      <c r="D8" s="117"/>
      <c r="E8" s="117"/>
      <c r="H8" s="3" t="s">
        <v>64</v>
      </c>
      <c r="I8" s="73"/>
      <c r="J8" s="73"/>
      <c r="K8" s="73"/>
      <c r="L8" s="73"/>
      <c r="M8" s="73"/>
      <c r="N8" s="73"/>
      <c r="O8" s="73"/>
      <c r="P8" s="73"/>
      <c r="Q8" s="73"/>
      <c r="R8" s="73"/>
      <c r="S8" s="73"/>
      <c r="T8" s="73"/>
      <c r="U8" s="117"/>
      <c r="V8" s="117"/>
      <c r="W8" s="117"/>
      <c r="X8" s="117"/>
      <c r="Y8" s="117"/>
      <c r="Z8" s="117"/>
      <c r="AA8" s="117"/>
      <c r="AB8" s="117"/>
      <c r="AC8" s="117"/>
      <c r="AD8" s="117"/>
      <c r="AE8" s="117"/>
      <c r="AF8" s="117"/>
      <c r="AG8" s="117"/>
      <c r="AH8" s="117"/>
      <c r="AI8" s="117"/>
      <c r="AJ8" s="117"/>
      <c r="AK8" s="117"/>
      <c r="AL8" s="117"/>
      <c r="AM8" s="117"/>
      <c r="AN8" s="117"/>
      <c r="AO8" s="117"/>
      <c r="AP8" s="117"/>
    </row>
    <row r="9" spans="1:42">
      <c r="A9" s="1">
        <v>3</v>
      </c>
    </row>
    <row r="10" spans="1:42">
      <c r="A10" s="1">
        <v>4</v>
      </c>
      <c r="B10" s="2" t="s">
        <v>94</v>
      </c>
      <c r="C10" s="9">
        <f>+SUM(C11:C15)</f>
        <v>330.93076441598595</v>
      </c>
      <c r="D10" s="9">
        <f>SUM(D11:D15)</f>
        <v>460.96481391606233</v>
      </c>
      <c r="E10" s="38">
        <f t="shared" ref="E10:E33" si="0">D10/C10-1</f>
        <v>0.39293430373436422</v>
      </c>
      <c r="H10" s="2" t="s">
        <v>94</v>
      </c>
      <c r="I10" s="9">
        <f t="shared" ref="I10:AI10" si="1">SUM(I11:I15)</f>
        <v>413.24504169000005</v>
      </c>
      <c r="J10" s="9">
        <f t="shared" si="1"/>
        <v>408.02186204000003</v>
      </c>
      <c r="K10" s="9">
        <f t="shared" si="1"/>
        <v>351.24406281</v>
      </c>
      <c r="L10" s="9">
        <f t="shared" si="1"/>
        <v>330.06554598999998</v>
      </c>
      <c r="M10" s="9">
        <f t="shared" si="1"/>
        <v>317.00992109000003</v>
      </c>
      <c r="N10" s="9">
        <f t="shared" si="1"/>
        <v>358.45925773000005</v>
      </c>
      <c r="O10" s="9">
        <f t="shared" si="1"/>
        <v>336.99432981999996</v>
      </c>
      <c r="P10" s="9">
        <f t="shared" si="1"/>
        <v>295.2</v>
      </c>
      <c r="Q10" s="9">
        <f t="shared" si="1"/>
        <v>306.96104971</v>
      </c>
      <c r="R10" s="9">
        <f t="shared" si="1"/>
        <v>315.18701463999997</v>
      </c>
      <c r="S10" s="9">
        <f t="shared" si="1"/>
        <v>285.26607687999996</v>
      </c>
      <c r="T10" s="9">
        <f t="shared" si="1"/>
        <v>312.09914898</v>
      </c>
      <c r="U10" s="9">
        <f t="shared" si="1"/>
        <v>334.40723076999996</v>
      </c>
      <c r="V10" s="9">
        <f t="shared" si="1"/>
        <v>346.55393107000003</v>
      </c>
      <c r="W10" s="9">
        <f t="shared" si="1"/>
        <v>332.52042805999997</v>
      </c>
      <c r="X10" s="9">
        <f t="shared" si="1"/>
        <v>342.09300468000004</v>
      </c>
      <c r="Y10" s="9">
        <f t="shared" si="1"/>
        <v>353.94514801000003</v>
      </c>
      <c r="Z10" s="9">
        <f t="shared" si="1"/>
        <v>348.51063906000007</v>
      </c>
      <c r="AA10" s="9">
        <f t="shared" si="1"/>
        <v>320.06585212000005</v>
      </c>
      <c r="AB10" s="9">
        <f>+AB11+AB12+AB13+AB14+AB15</f>
        <v>347.33065854</v>
      </c>
      <c r="AC10" s="9">
        <f t="shared" si="1"/>
        <v>341.09638778000004</v>
      </c>
      <c r="AD10" s="9">
        <f t="shared" si="1"/>
        <v>349.16334979000004</v>
      </c>
      <c r="AE10" s="9">
        <f t="shared" si="1"/>
        <v>336.11869616000007</v>
      </c>
      <c r="AF10" s="9">
        <f>SUM(AF11:AF15)</f>
        <v>304.75488297216134</v>
      </c>
      <c r="AG10" s="9">
        <f t="shared" si="1"/>
        <v>304.92839223000004</v>
      </c>
      <c r="AH10" s="9">
        <f t="shared" si="1"/>
        <v>291.72425158999999</v>
      </c>
      <c r="AI10" s="9">
        <f t="shared" si="1"/>
        <v>301.11284210999997</v>
      </c>
      <c r="AJ10" s="9">
        <f>SUM(AJ11:AJ15)</f>
        <v>291.66198053907101</v>
      </c>
      <c r="AK10" s="9">
        <f>SUM(AK11:AK15)</f>
        <v>297.6257196794561</v>
      </c>
      <c r="AL10" s="9">
        <f>SUM(AL11:AL14)</f>
        <v>322.26952723054387</v>
      </c>
      <c r="AM10" s="9">
        <f>SUM(AM11:AM15)</f>
        <v>308.10021082968274</v>
      </c>
      <c r="AN10" s="9">
        <v>330</v>
      </c>
      <c r="AO10" s="9">
        <f>+SUM(AO11:AO15)</f>
        <v>361.71194770738282</v>
      </c>
      <c r="AP10" s="9">
        <f>+SUM(AP11:AP15)</f>
        <v>460.96481391606233</v>
      </c>
    </row>
    <row r="11" spans="1:42">
      <c r="A11" s="1">
        <v>5</v>
      </c>
      <c r="B11" s="5" t="s">
        <v>96</v>
      </c>
      <c r="C11" s="7">
        <f>+HLOOKUP($C$7,$H$7:$AP$33,A11,FALSE)</f>
        <v>88.743230329999989</v>
      </c>
      <c r="D11" s="7">
        <f>+HLOOKUP($D$7,$H$7:$AP$33,A11,FALSE)</f>
        <v>75.41440996</v>
      </c>
      <c r="E11" s="36">
        <f t="shared" si="0"/>
        <v>-0.15019534808948831</v>
      </c>
      <c r="H11" s="5" t="s">
        <v>96</v>
      </c>
      <c r="I11" s="7">
        <v>165.97948997</v>
      </c>
      <c r="J11" s="7">
        <v>188.49707770999999</v>
      </c>
      <c r="K11" s="7">
        <v>186.63649657999997</v>
      </c>
      <c r="L11" s="7">
        <v>183.50712984</v>
      </c>
      <c r="M11" s="7">
        <v>167.63677664999997</v>
      </c>
      <c r="N11" s="7">
        <v>168.71629537000001</v>
      </c>
      <c r="O11" s="7">
        <v>144.29418787999998</v>
      </c>
      <c r="P11" s="7">
        <v>138</v>
      </c>
      <c r="Q11" s="7">
        <v>170.95826696</v>
      </c>
      <c r="R11" s="7">
        <v>147.25569370999997</v>
      </c>
      <c r="S11" s="7">
        <v>156.87191987999995</v>
      </c>
      <c r="T11" s="7">
        <v>162.03334683000003</v>
      </c>
      <c r="U11" s="7">
        <v>174.07059289</v>
      </c>
      <c r="V11" s="7">
        <v>164.98893743000002</v>
      </c>
      <c r="W11" s="7">
        <v>169.59507421999999</v>
      </c>
      <c r="X11" s="7">
        <v>165.59156586</v>
      </c>
      <c r="Y11" s="7">
        <v>158.00478936000002</v>
      </c>
      <c r="Z11" s="7">
        <v>149.08084310000004</v>
      </c>
      <c r="AA11" s="7">
        <v>149.56883198000003</v>
      </c>
      <c r="AB11" s="7">
        <f>166.6-AB46</f>
        <v>142.62038269999999</v>
      </c>
      <c r="AC11" s="7">
        <f>148-AC46</f>
        <v>120.40774446</v>
      </c>
      <c r="AD11" s="7">
        <v>121.72846186000001</v>
      </c>
      <c r="AE11" s="7">
        <v>122.14336145000004</v>
      </c>
      <c r="AF11" s="7">
        <f>133.84807263-AF46</f>
        <v>104.94583419999999</v>
      </c>
      <c r="AG11" s="7">
        <f>114.6884281-AG46</f>
        <v>85.40246028</v>
      </c>
      <c r="AH11" s="7">
        <f>95.65596281-AH46</f>
        <v>70.597202500000009</v>
      </c>
      <c r="AI11" s="7">
        <f>117.68062571-AI46</f>
        <v>90.903762</v>
      </c>
      <c r="AJ11" s="7">
        <f>110.34880305-AJ46</f>
        <v>82.93251309</v>
      </c>
      <c r="AK11" s="7">
        <f>107.74954268-AK46</f>
        <v>80.394318520000013</v>
      </c>
      <c r="AL11" s="7">
        <v>88.743230329999989</v>
      </c>
      <c r="AM11" s="7">
        <v>92.522331149999999</v>
      </c>
      <c r="AN11" s="7">
        <v>87.586306500000035</v>
      </c>
      <c r="AO11" s="7">
        <v>68.380471639999996</v>
      </c>
      <c r="AP11" s="7">
        <v>75.41440996</v>
      </c>
    </row>
    <row r="12" spans="1:42">
      <c r="A12" s="1">
        <v>6</v>
      </c>
      <c r="B12" s="5" t="s">
        <v>97</v>
      </c>
      <c r="C12" s="7">
        <f t="shared" ref="C12:C15" si="2">+HLOOKUP($C$7,$H$7:$AP$33,A12,FALSE)</f>
        <v>162.52249409000001</v>
      </c>
      <c r="D12" s="7">
        <f t="shared" ref="D12:D15" si="3">+HLOOKUP($D$7,$H$7:$AP$33,A12,FALSE)</f>
        <v>240.11867740000002</v>
      </c>
      <c r="E12" s="36">
        <f t="shared" si="0"/>
        <v>0.47744888327291868</v>
      </c>
      <c r="H12" s="5" t="s">
        <v>97</v>
      </c>
      <c r="I12" s="7">
        <v>150.77243078000001</v>
      </c>
      <c r="J12" s="7">
        <v>123.92201981999999</v>
      </c>
      <c r="K12" s="7">
        <v>120.66280569000001</v>
      </c>
      <c r="L12" s="7">
        <v>106.75534663999998</v>
      </c>
      <c r="M12" s="7">
        <v>73.031641460000003</v>
      </c>
      <c r="N12" s="7">
        <v>86.392646360000015</v>
      </c>
      <c r="O12" s="7">
        <v>96.76054504999999</v>
      </c>
      <c r="P12" s="7">
        <v>101.5</v>
      </c>
      <c r="Q12" s="7">
        <v>90.937325090000002</v>
      </c>
      <c r="R12" s="7">
        <v>88.196378429999996</v>
      </c>
      <c r="S12" s="7">
        <v>87.818069400000013</v>
      </c>
      <c r="T12" s="7">
        <v>116.27806589999999</v>
      </c>
      <c r="U12" s="7">
        <v>89.859854289999987</v>
      </c>
      <c r="V12" s="7">
        <v>97.303830059999996</v>
      </c>
      <c r="W12" s="7">
        <v>106.30207426000001</v>
      </c>
      <c r="X12" s="7">
        <v>120.75143799999999</v>
      </c>
      <c r="Y12" s="7">
        <v>141.77274656</v>
      </c>
      <c r="Z12" s="44">
        <v>141.20456391000002</v>
      </c>
      <c r="AA12" s="44">
        <v>142.17470935000003</v>
      </c>
      <c r="AB12" s="7">
        <f>180-AB47</f>
        <v>173.02595392000001</v>
      </c>
      <c r="AC12" s="7">
        <f>164-AC47</f>
        <v>155.65650081000001</v>
      </c>
      <c r="AD12" s="7">
        <v>157.80371734000002</v>
      </c>
      <c r="AE12" s="7">
        <v>180.18419281999999</v>
      </c>
      <c r="AF12" s="7">
        <f>186.49362536-AF47</f>
        <v>178.32125483999999</v>
      </c>
      <c r="AG12" s="7">
        <f>168.538033-AG47</f>
        <v>163.07983377000002</v>
      </c>
      <c r="AH12" s="7">
        <f>171.75554184-AH47</f>
        <v>167.39293016000002</v>
      </c>
      <c r="AI12" s="7">
        <f>169.27509729-AI47</f>
        <v>162.71134824999999</v>
      </c>
      <c r="AJ12" s="7">
        <f>188.34526278-AJ47</f>
        <v>182.34156679</v>
      </c>
      <c r="AK12" s="7">
        <f>166.75441463-AK47</f>
        <v>160.15493628000002</v>
      </c>
      <c r="AL12" s="7">
        <v>162.52249409000001</v>
      </c>
      <c r="AM12" s="7">
        <v>149.12498557999999</v>
      </c>
      <c r="AN12" s="7">
        <v>195.05197591999996</v>
      </c>
      <c r="AO12" s="7">
        <v>230.86547482000003</v>
      </c>
      <c r="AP12" s="7">
        <v>240.11867740000002</v>
      </c>
    </row>
    <row r="13" spans="1:42">
      <c r="A13" s="1">
        <v>7</v>
      </c>
      <c r="B13" s="5" t="s">
        <v>98</v>
      </c>
      <c r="C13" s="7">
        <f t="shared" si="2"/>
        <v>59.43367155</v>
      </c>
      <c r="D13" s="7">
        <f t="shared" si="3"/>
        <v>136.98362736999997</v>
      </c>
      <c r="E13" s="36">
        <f t="shared" si="0"/>
        <v>1.3048151628115252</v>
      </c>
      <c r="H13" s="5" t="s">
        <v>98</v>
      </c>
      <c r="I13" s="7">
        <v>1.5028240999999996</v>
      </c>
      <c r="J13" s="7">
        <v>49.894180069999997</v>
      </c>
      <c r="K13" s="7">
        <v>4.4164942199999997</v>
      </c>
      <c r="L13" s="7">
        <v>0.11559316000000001</v>
      </c>
      <c r="M13" s="7">
        <v>37.97244843</v>
      </c>
      <c r="N13" s="7">
        <v>61.590290149999994</v>
      </c>
      <c r="O13" s="7">
        <v>31.334177269999998</v>
      </c>
      <c r="P13" s="7">
        <v>22.6</v>
      </c>
      <c r="Q13" s="7">
        <v>15.926482890000001</v>
      </c>
      <c r="R13" s="7">
        <v>35.506546749999998</v>
      </c>
      <c r="S13" s="7">
        <v>2.8136687299999998</v>
      </c>
      <c r="T13" s="7">
        <v>-0.83844826000000339</v>
      </c>
      <c r="U13" s="7">
        <v>25.163804219999999</v>
      </c>
      <c r="V13" s="7">
        <v>43.337346090000004</v>
      </c>
      <c r="W13" s="7">
        <v>14.417883880000002</v>
      </c>
      <c r="X13" s="7">
        <v>16.366405319999998</v>
      </c>
      <c r="Y13" s="7">
        <v>31.975062109999996</v>
      </c>
      <c r="Z13" s="44">
        <v>39.212896179999994</v>
      </c>
      <c r="AA13" s="44">
        <v>11.762932279999999</v>
      </c>
      <c r="AB13" s="7">
        <f>16.75352979-AB48</f>
        <v>10.462075560000002</v>
      </c>
      <c r="AC13" s="7">
        <f>52.6-AC48</f>
        <v>47.765560749999999</v>
      </c>
      <c r="AD13" s="7">
        <v>43.158053299999992</v>
      </c>
      <c r="AE13" s="7">
        <v>6.1860102600000033</v>
      </c>
      <c r="AF13" s="7">
        <f>7.57846146216136-AF48</f>
        <v>4.5668948321613598</v>
      </c>
      <c r="AG13" s="7">
        <f>37.90068371-AG48</f>
        <v>36.242600600000003</v>
      </c>
      <c r="AH13" s="7">
        <f>31.0031451-AH48</f>
        <v>27.08840919</v>
      </c>
      <c r="AI13" s="7">
        <f>38.46334234-AI48</f>
        <v>30.277005829999997</v>
      </c>
      <c r="AJ13" s="7">
        <f>24.28213842-AJ48</f>
        <v>15.143313109999999</v>
      </c>
      <c r="AK13" s="7">
        <f>27.35959185-AK48</f>
        <v>24.850406810000003</v>
      </c>
      <c r="AL13" s="7">
        <v>59.43367155</v>
      </c>
      <c r="AM13" s="7">
        <v>45.743328219999995</v>
      </c>
      <c r="AN13" s="7">
        <v>42.527461470000006</v>
      </c>
      <c r="AO13" s="7">
        <v>53.898064349999991</v>
      </c>
      <c r="AP13" s="44">
        <v>136.98362736999997</v>
      </c>
    </row>
    <row r="14" spans="1:42">
      <c r="A14" s="1">
        <v>8</v>
      </c>
      <c r="B14" s="5" t="s">
        <v>69</v>
      </c>
      <c r="C14" s="95">
        <f>+HLOOKUP($C$7,$H$7:$AP$33,A14,FALSE)</f>
        <v>11.570131260543871</v>
      </c>
      <c r="D14" s="44">
        <f>+HLOOKUP($D$7,$H$7:$AP$33,A14,FALSE)</f>
        <v>0</v>
      </c>
      <c r="E14" s="36"/>
      <c r="H14" s="5" t="s">
        <v>69</v>
      </c>
      <c r="I14" s="7">
        <v>41.156034410000004</v>
      </c>
      <c r="J14" s="7">
        <v>45.093694849999999</v>
      </c>
      <c r="K14" s="7">
        <v>39.179404990000002</v>
      </c>
      <c r="L14" s="7">
        <v>37.815244419999999</v>
      </c>
      <c r="M14" s="7">
        <v>36.024857099999998</v>
      </c>
      <c r="N14" s="7">
        <v>39.49619045</v>
      </c>
      <c r="O14" s="7">
        <v>37.876558799999998</v>
      </c>
      <c r="P14" s="7">
        <v>31.7</v>
      </c>
      <c r="Q14" s="7">
        <v>28.420257320000005</v>
      </c>
      <c r="R14" s="7">
        <v>43.988652819999999</v>
      </c>
      <c r="S14" s="7">
        <v>37.405080679999998</v>
      </c>
      <c r="T14" s="7">
        <v>32.429191130000014</v>
      </c>
      <c r="U14" s="7">
        <v>40.141034320000003</v>
      </c>
      <c r="V14" s="7">
        <v>35.80881715000001</v>
      </c>
      <c r="W14" s="7">
        <v>36.7775417</v>
      </c>
      <c r="X14" s="7">
        <v>35.566902029999994</v>
      </c>
      <c r="Y14" s="7">
        <v>16.340877990000003</v>
      </c>
      <c r="Z14" s="44">
        <v>13.981938399999999</v>
      </c>
      <c r="AA14" s="44">
        <v>11.010783440000001</v>
      </c>
      <c r="AB14" s="7">
        <v>15.06275686</v>
      </c>
      <c r="AC14" s="7">
        <f>10.45666325-AC49</f>
        <v>10.45666325</v>
      </c>
      <c r="AD14" s="7">
        <v>18.083903670000005</v>
      </c>
      <c r="AE14" s="7">
        <v>20.128161159999998</v>
      </c>
      <c r="AF14" s="7">
        <f>12.92461491-AF49</f>
        <v>12.924614910000001</v>
      </c>
      <c r="AG14" s="7">
        <f>15.14027786-AG49</f>
        <v>15.140277859999999</v>
      </c>
      <c r="AH14" s="7">
        <v>19.754234069999995</v>
      </c>
      <c r="AI14" s="7">
        <v>14.265083909999994</v>
      </c>
      <c r="AJ14" s="7">
        <v>6.129047700000001</v>
      </c>
      <c r="AK14" s="7">
        <f>26.02272966-AK49</f>
        <v>26.02272966</v>
      </c>
      <c r="AL14" s="7">
        <v>11.570131260543871</v>
      </c>
      <c r="AM14" s="7">
        <v>2.8865866999999898</v>
      </c>
      <c r="AN14" s="44">
        <v>0</v>
      </c>
      <c r="AO14" s="44">
        <v>0</v>
      </c>
      <c r="AP14" s="44">
        <v>0</v>
      </c>
    </row>
    <row r="15" spans="1:42">
      <c r="A15" s="1">
        <v>9</v>
      </c>
      <c r="B15" s="5" t="s">
        <v>67</v>
      </c>
      <c r="C15" s="7">
        <f t="shared" si="2"/>
        <v>8.6612371854420704</v>
      </c>
      <c r="D15" s="7">
        <f t="shared" si="3"/>
        <v>8.4480991860623238</v>
      </c>
      <c r="E15" s="36">
        <f t="shared" si="0"/>
        <v>-2.4608262632270561E-2</v>
      </c>
      <c r="H15" s="5" t="s">
        <v>67</v>
      </c>
      <c r="I15" s="7">
        <v>53.834262430000003</v>
      </c>
      <c r="J15" s="7">
        <v>0.61488958999999999</v>
      </c>
      <c r="K15" s="7">
        <v>0.34886132999999997</v>
      </c>
      <c r="L15" s="7">
        <v>1.8722319299999999</v>
      </c>
      <c r="M15" s="7">
        <v>2.3441974500000002</v>
      </c>
      <c r="N15" s="7">
        <v>2.2638354000000001</v>
      </c>
      <c r="O15" s="7">
        <v>26.728860820000001</v>
      </c>
      <c r="P15" s="7">
        <v>1.4</v>
      </c>
      <c r="Q15" s="7">
        <v>0.71871744999999998</v>
      </c>
      <c r="R15" s="7">
        <v>0.23974292999999997</v>
      </c>
      <c r="S15" s="7">
        <v>0.35733819000000006</v>
      </c>
      <c r="T15" s="7">
        <v>2.1969933800000003</v>
      </c>
      <c r="U15" s="7">
        <v>5.1719450499999988</v>
      </c>
      <c r="V15" s="7">
        <v>5.1150003399999999</v>
      </c>
      <c r="W15" s="7">
        <v>5.4278540000000008</v>
      </c>
      <c r="X15" s="7">
        <v>3.8166934700000001</v>
      </c>
      <c r="Y15" s="7">
        <v>5.8516719899999989</v>
      </c>
      <c r="Z15" s="44">
        <v>5.0303974700000005</v>
      </c>
      <c r="AA15" s="44">
        <v>5.5485950699999984</v>
      </c>
      <c r="AB15" s="7">
        <f>7.3-AB50</f>
        <v>6.1594894999999994</v>
      </c>
      <c r="AC15" s="7">
        <f>8-AC50</f>
        <v>6.8099185100000001</v>
      </c>
      <c r="AD15" s="7">
        <v>8.3892136199999996</v>
      </c>
      <c r="AE15" s="7">
        <v>7.476970470000003</v>
      </c>
      <c r="AF15" s="7">
        <f>11.22495761-AF50</f>
        <v>3.9962841899999999</v>
      </c>
      <c r="AG15" s="7">
        <f>6.34286927-AG50</f>
        <v>5.0632197199999993</v>
      </c>
      <c r="AH15" s="7">
        <f>8.34545564-AH50</f>
        <v>6.8914756700000011</v>
      </c>
      <c r="AI15" s="7">
        <f>4.31825038-AI50</f>
        <v>2.9556421200000003</v>
      </c>
      <c r="AJ15" s="7">
        <f>6.63551003907104-AJ50</f>
        <v>5.1155398490710393</v>
      </c>
      <c r="AK15" s="7">
        <f>7.69899216945612-AK50</f>
        <v>6.2033284094561196</v>
      </c>
      <c r="AL15" s="7">
        <f>9.90659021544207-AL50</f>
        <v>8.6612371854420704</v>
      </c>
      <c r="AM15" s="7">
        <v>17.822979179682701</v>
      </c>
      <c r="AN15" s="7">
        <v>4.9064399222843491</v>
      </c>
      <c r="AO15" s="7">
        <v>8.5679368973828378</v>
      </c>
      <c r="AP15" s="44">
        <v>8.4480991860623238</v>
      </c>
    </row>
    <row r="16" spans="1:42">
      <c r="A16" s="1">
        <v>10</v>
      </c>
      <c r="C16" s="33"/>
      <c r="D16" s="33"/>
      <c r="E16" s="40"/>
      <c r="I16" s="33"/>
      <c r="J16" s="33"/>
      <c r="K16" s="33"/>
      <c r="L16" s="33"/>
      <c r="M16" s="33"/>
      <c r="N16" s="33"/>
      <c r="O16" s="33"/>
      <c r="P16" s="33"/>
      <c r="Q16" s="33"/>
      <c r="R16" s="33"/>
      <c r="S16" s="33"/>
      <c r="T16" s="33"/>
      <c r="U16" s="33"/>
      <c r="V16" s="33"/>
      <c r="W16" s="33"/>
      <c r="X16" s="33"/>
      <c r="Y16" s="33"/>
      <c r="Z16" s="33"/>
      <c r="AA16" s="33"/>
      <c r="AB16" s="33"/>
      <c r="AC16" s="33"/>
      <c r="AD16" s="33"/>
      <c r="AE16" s="33"/>
      <c r="AF16" s="33"/>
      <c r="AG16" s="33"/>
      <c r="AH16" s="33"/>
      <c r="AI16" s="33"/>
      <c r="AJ16" s="33"/>
      <c r="AK16" s="33"/>
      <c r="AM16" s="33"/>
      <c r="AN16" s="33"/>
      <c r="AO16" s="33"/>
    </row>
    <row r="17" spans="1:42">
      <c r="A17" s="1">
        <v>11</v>
      </c>
      <c r="B17" s="2" t="s">
        <v>99</v>
      </c>
      <c r="C17" s="9">
        <f t="shared" ref="C17" si="4">SUM(C18:C23)</f>
        <v>-174.63671665124437</v>
      </c>
      <c r="D17" s="9">
        <f t="shared" ref="D17" si="5">SUM(D18:D23)</f>
        <v>-298.74683102163107</v>
      </c>
      <c r="E17" s="38">
        <f>D17/C17-1</f>
        <v>0.71067594919480159</v>
      </c>
      <c r="H17" s="2" t="s">
        <v>99</v>
      </c>
      <c r="I17" s="9">
        <f t="shared" ref="I17:AJ17" si="6">SUM(I18:I23)</f>
        <v>-275.35129532000002</v>
      </c>
      <c r="J17" s="9">
        <f t="shared" si="6"/>
        <v>-245.57660835000001</v>
      </c>
      <c r="K17" s="9">
        <f t="shared" si="6"/>
        <v>-213.76067669000003</v>
      </c>
      <c r="L17" s="9">
        <f t="shared" si="6"/>
        <v>-149.01963957999999</v>
      </c>
      <c r="M17" s="9">
        <f t="shared" si="6"/>
        <v>-205.1628939</v>
      </c>
      <c r="N17" s="9">
        <f t="shared" si="6"/>
        <v>-201.26569451</v>
      </c>
      <c r="O17" s="9">
        <f t="shared" si="6"/>
        <v>-136.02479528999999</v>
      </c>
      <c r="P17" s="9">
        <f t="shared" si="6"/>
        <v>-98.7</v>
      </c>
      <c r="Q17" s="9">
        <f t="shared" si="6"/>
        <v>-132.75843111</v>
      </c>
      <c r="R17" s="9">
        <f t="shared" si="6"/>
        <v>-150.15819938999999</v>
      </c>
      <c r="S17" s="9">
        <f t="shared" si="6"/>
        <v>-154.75086822</v>
      </c>
      <c r="T17" s="9">
        <f t="shared" si="6"/>
        <v>-142.57810221000003</v>
      </c>
      <c r="U17" s="9">
        <f t="shared" si="6"/>
        <v>-167.26441367999999</v>
      </c>
      <c r="V17" s="9">
        <f t="shared" si="6"/>
        <v>-175.75027431000001</v>
      </c>
      <c r="W17" s="9">
        <f t="shared" si="6"/>
        <v>-147.17653369000001</v>
      </c>
      <c r="X17" s="9">
        <f t="shared" si="6"/>
        <v>-124.09420446999999</v>
      </c>
      <c r="Y17" s="9">
        <f t="shared" si="6"/>
        <v>-173.83893678999999</v>
      </c>
      <c r="Z17" s="9">
        <f t="shared" si="6"/>
        <v>-181.13288132</v>
      </c>
      <c r="AA17" s="9">
        <f t="shared" si="6"/>
        <v>-146.27714492000001</v>
      </c>
      <c r="AB17" s="9">
        <f t="shared" si="6"/>
        <v>-116.73437586999998</v>
      </c>
      <c r="AC17" s="9">
        <f t="shared" si="6"/>
        <v>-170.47125767000003</v>
      </c>
      <c r="AD17" s="9">
        <f t="shared" si="6"/>
        <v>-170.79738747000002</v>
      </c>
      <c r="AE17" s="9">
        <f t="shared" si="6"/>
        <v>-152.53082833000002</v>
      </c>
      <c r="AF17" s="9">
        <f t="shared" si="6"/>
        <v>-117.26530571084766</v>
      </c>
      <c r="AG17" s="9">
        <f t="shared" si="6"/>
        <v>-128.9747912</v>
      </c>
      <c r="AH17" s="9">
        <f t="shared" si="6"/>
        <v>-125.15747811000001</v>
      </c>
      <c r="AI17" s="9">
        <f t="shared" si="6"/>
        <v>-117.61759233000001</v>
      </c>
      <c r="AJ17" s="9">
        <f t="shared" si="6"/>
        <v>-103.64530324</v>
      </c>
      <c r="AK17" s="9">
        <f t="shared" ref="AK17:AP17" si="7">+SUM(AK18:AK23)</f>
        <v>-145.81400551999999</v>
      </c>
      <c r="AL17" s="9">
        <f t="shared" si="7"/>
        <v>-174.63671665124437</v>
      </c>
      <c r="AM17" s="9">
        <f t="shared" si="7"/>
        <v>-227.4561109914855</v>
      </c>
      <c r="AN17" s="9">
        <f t="shared" si="7"/>
        <v>-152.81074061000007</v>
      </c>
      <c r="AO17" s="9">
        <f t="shared" si="7"/>
        <v>-211.96305361999998</v>
      </c>
      <c r="AP17" s="9">
        <f t="shared" si="7"/>
        <v>-298.74683102163107</v>
      </c>
    </row>
    <row r="18" spans="1:42">
      <c r="A18" s="1">
        <v>12</v>
      </c>
      <c r="B18" s="5" t="s">
        <v>69</v>
      </c>
      <c r="C18" s="44">
        <f t="shared" ref="C18:C23" si="8">+HLOOKUP($C$7,$H$7:$AP$33,A18,FALSE)</f>
        <v>-36.579687749999998</v>
      </c>
      <c r="D18" s="44">
        <f t="shared" ref="D18:D23" si="9">+HLOOKUP($D$7,$H$7:$AP$33,A18,FALSE)</f>
        <v>-35.361309640000002</v>
      </c>
      <c r="E18" s="36">
        <f t="shared" si="0"/>
        <v>-3.3307504381307806E-2</v>
      </c>
      <c r="H18" s="5" t="s">
        <v>69</v>
      </c>
      <c r="I18" s="44">
        <v>-48.867815859999993</v>
      </c>
      <c r="J18" s="44">
        <v>-36.536173910000002</v>
      </c>
      <c r="K18" s="44">
        <v>-36.232333570000002</v>
      </c>
      <c r="L18" s="44">
        <v>-40.281641289999996</v>
      </c>
      <c r="M18" s="44">
        <v>-39.09474281</v>
      </c>
      <c r="N18" s="44">
        <v>-34.689093559999996</v>
      </c>
      <c r="O18" s="44">
        <v>-34.50693442</v>
      </c>
      <c r="P18" s="44">
        <v>-33.299999999999997</v>
      </c>
      <c r="Q18" s="44">
        <v>-34.796432860000003</v>
      </c>
      <c r="R18" s="44">
        <v>-36.290084159999992</v>
      </c>
      <c r="S18" s="44">
        <v>-35.83344452</v>
      </c>
      <c r="T18" s="44">
        <v>-34.904950130000003</v>
      </c>
      <c r="U18" s="44">
        <v>-40.870053159999991</v>
      </c>
      <c r="V18" s="44">
        <v>-36.607482070000003</v>
      </c>
      <c r="W18" s="44">
        <v>-38.842737790000008</v>
      </c>
      <c r="X18" s="44">
        <v>-40.685668849999999</v>
      </c>
      <c r="Y18" s="44">
        <v>-39.213009910000004</v>
      </c>
      <c r="Z18" s="44">
        <v>-31.770287920000001</v>
      </c>
      <c r="AA18" s="44">
        <v>-26.527575679999998</v>
      </c>
      <c r="AB18" s="44">
        <f>+-32.17954707-AB53</f>
        <v>-32.179547069999998</v>
      </c>
      <c r="AC18" s="44">
        <f>+-32.9777754-AC53</f>
        <v>-32.4816121</v>
      </c>
      <c r="AD18" s="44">
        <f>+-34.29679217-AD53</f>
        <v>-33.566455930000004</v>
      </c>
      <c r="AE18" s="44">
        <v>-49.28598399000002</v>
      </c>
      <c r="AF18" s="44">
        <f>+-20.88005158-AF53</f>
        <v>-19.960651899999998</v>
      </c>
      <c r="AG18" s="44">
        <f>+-21.55022939-AG53</f>
        <v>-20.850229389999999</v>
      </c>
      <c r="AH18" s="44">
        <f>+-26.60999613-AH53</f>
        <v>-24.390609949999998</v>
      </c>
      <c r="AI18" s="44">
        <f>+-26.50304141-AI53</f>
        <v>-25.258113340000001</v>
      </c>
      <c r="AJ18" s="44">
        <f>+-38.09702692-AJ53</f>
        <v>-36.941916479999996</v>
      </c>
      <c r="AK18" s="44">
        <f>+-31.25610667-AK53</f>
        <v>-30.835691730000001</v>
      </c>
      <c r="AL18" s="44">
        <v>-36.579687749999998</v>
      </c>
      <c r="AM18" s="44">
        <v>-22.452493650000001</v>
      </c>
      <c r="AN18" s="44">
        <v>-28.740887379999975</v>
      </c>
      <c r="AO18" s="44">
        <v>-34.999264529999991</v>
      </c>
      <c r="AP18" s="44">
        <v>-35.361309640000002</v>
      </c>
    </row>
    <row r="19" spans="1:42">
      <c r="A19" s="1">
        <v>13</v>
      </c>
      <c r="B19" s="5" t="s">
        <v>70</v>
      </c>
      <c r="C19" s="44">
        <f t="shared" si="8"/>
        <v>-12.663205760000004</v>
      </c>
      <c r="D19" s="44">
        <f t="shared" si="9"/>
        <v>-38.247207030000006</v>
      </c>
      <c r="E19" s="36">
        <f t="shared" si="0"/>
        <v>2.0203415908168894</v>
      </c>
      <c r="H19" s="5" t="s">
        <v>70</v>
      </c>
      <c r="I19" s="44">
        <v>-18.03067094</v>
      </c>
      <c r="J19" s="44">
        <v>-3.3591411400000002</v>
      </c>
      <c r="K19" s="44">
        <v>-20.369487509999999</v>
      </c>
      <c r="L19" s="44">
        <v>-29.147778030000001</v>
      </c>
      <c r="M19" s="44">
        <v>-4.5187954299999999</v>
      </c>
      <c r="N19" s="44">
        <v>-9.2159443799999998</v>
      </c>
      <c r="O19" s="44">
        <v>-10.38048916</v>
      </c>
      <c r="P19" s="44">
        <v>-16.5</v>
      </c>
      <c r="Q19" s="44">
        <v>-5.5495712899999994</v>
      </c>
      <c r="R19" s="44">
        <v>-6.9293658100000002</v>
      </c>
      <c r="S19" s="44">
        <v>-38.774170070000004</v>
      </c>
      <c r="T19" s="44">
        <v>-34.718472030000001</v>
      </c>
      <c r="U19" s="44">
        <v>-7.4512985600000015</v>
      </c>
      <c r="V19" s="44">
        <v>-8.1270384000000018</v>
      </c>
      <c r="W19" s="44">
        <v>-12.170216480000001</v>
      </c>
      <c r="X19" s="44">
        <v>-15.217228350000001</v>
      </c>
      <c r="Y19" s="44">
        <v>-7.642425229999998</v>
      </c>
      <c r="Z19" s="44">
        <v>-8.2504383900000011</v>
      </c>
      <c r="AA19" s="44">
        <v>-12.82375993</v>
      </c>
      <c r="AB19" s="44">
        <f>+-10.25707385-AB54</f>
        <v>-10.25332315</v>
      </c>
      <c r="AC19" s="44">
        <f>+-2.75986665-AC54</f>
        <v>-2.4879566200000003</v>
      </c>
      <c r="AD19" s="44">
        <f>+-13.18502617-AD54</f>
        <v>-12.817846660000001</v>
      </c>
      <c r="AE19" s="44">
        <v>-30.11858333</v>
      </c>
      <c r="AF19" s="44">
        <f>+-18.77742197-AF54</f>
        <v>-18.427504539999997</v>
      </c>
      <c r="AG19" s="44">
        <f>+-15.50763813-AG54</f>
        <v>-14.207638129999999</v>
      </c>
      <c r="AH19" s="44">
        <f>+-7.04974417-AH54</f>
        <v>-6.5616336200000003</v>
      </c>
      <c r="AI19" s="44">
        <f>+-8.86610442-AI54</f>
        <v>-8.8063862099999994</v>
      </c>
      <c r="AJ19" s="44">
        <f>+-22.67480489-AJ54</f>
        <v>-22.67467628</v>
      </c>
      <c r="AK19" s="44">
        <f>+-15.90505726-AK54</f>
        <v>-15.520190899999999</v>
      </c>
      <c r="AL19" s="44">
        <v>-12.663205760000004</v>
      </c>
      <c r="AM19" s="44">
        <v>-18.07246731</v>
      </c>
      <c r="AN19" s="44">
        <v>-22.747301230000005</v>
      </c>
      <c r="AO19" s="44">
        <v>-28.384416129999998</v>
      </c>
      <c r="AP19" s="44">
        <v>-38.247207030000006</v>
      </c>
    </row>
    <row r="20" spans="1:42">
      <c r="A20" s="1">
        <v>14</v>
      </c>
      <c r="B20" s="5" t="s">
        <v>71</v>
      </c>
      <c r="C20" s="44">
        <f t="shared" si="8"/>
        <v>-76.862570170000012</v>
      </c>
      <c r="D20" s="44">
        <f t="shared" si="9"/>
        <v>-128.01139555999998</v>
      </c>
      <c r="E20" s="36">
        <f t="shared" si="0"/>
        <v>0.66545817134233309</v>
      </c>
      <c r="H20" s="5" t="s">
        <v>71</v>
      </c>
      <c r="I20" s="44">
        <v>-143.05921096000003</v>
      </c>
      <c r="J20" s="44">
        <v>-115.28823815000001</v>
      </c>
      <c r="K20" s="44">
        <v>-64.623558400000007</v>
      </c>
      <c r="L20" s="44">
        <v>-18.6760698</v>
      </c>
      <c r="M20" s="44">
        <v>-95.077913459999991</v>
      </c>
      <c r="N20" s="44">
        <v>-96.246866560000015</v>
      </c>
      <c r="O20" s="44">
        <v>-48.765143299999998</v>
      </c>
      <c r="P20" s="44">
        <v>-11.3</v>
      </c>
      <c r="Q20" s="44">
        <v>-55.49246531</v>
      </c>
      <c r="R20" s="44">
        <v>-48.625604530000011</v>
      </c>
      <c r="S20" s="44">
        <v>-29.351692119999996</v>
      </c>
      <c r="T20" s="44">
        <v>-46.499171390000001</v>
      </c>
      <c r="U20" s="44">
        <v>-74.428830290000008</v>
      </c>
      <c r="V20" s="44">
        <v>-74.671550390000007</v>
      </c>
      <c r="W20" s="44">
        <v>-44.972191940000002</v>
      </c>
      <c r="X20" s="44">
        <v>-22.572275439999995</v>
      </c>
      <c r="Y20" s="44">
        <v>-81.834264469999994</v>
      </c>
      <c r="Z20" s="44">
        <v>-91.752166529999982</v>
      </c>
      <c r="AA20" s="44">
        <v>-63.272530880000005</v>
      </c>
      <c r="AB20" s="44">
        <f>+-51.49424782-AB55</f>
        <v>-26.208514819999998</v>
      </c>
      <c r="AC20" s="44">
        <f>+-103.54780074-AC55</f>
        <v>-83.935614360000002</v>
      </c>
      <c r="AD20" s="44">
        <f>+-95.37933399-AD55</f>
        <v>-79.202876680000003</v>
      </c>
      <c r="AE20" s="44">
        <v>-48.18053414000002</v>
      </c>
      <c r="AF20" s="44">
        <f>+-64.13887255-AF55</f>
        <v>-43.382659270000005</v>
      </c>
      <c r="AG20" s="44">
        <f>+-68.50728894-AG55</f>
        <v>-57.407288939999994</v>
      </c>
      <c r="AH20" s="44">
        <f>+-69.67391141-AH55</f>
        <v>-55.093791430000003</v>
      </c>
      <c r="AI20" s="44">
        <f>+-75.50659227-AI55</f>
        <v>-54.870246770000001</v>
      </c>
      <c r="AJ20" s="44">
        <f>+-31.72562505-AJ55</f>
        <v>-12.156151910000002</v>
      </c>
      <c r="AK20" s="44">
        <f>+-66.27092621-AK55</f>
        <v>-51.142680729999995</v>
      </c>
      <c r="AL20" s="44">
        <v>-76.862570170000012</v>
      </c>
      <c r="AM20" s="44">
        <v>-128.16187044</v>
      </c>
      <c r="AN20" s="44">
        <v>-64.591707400000018</v>
      </c>
      <c r="AO20" s="44">
        <v>-97.481601500000011</v>
      </c>
      <c r="AP20" s="44">
        <v>-128.01139555999998</v>
      </c>
    </row>
    <row r="21" spans="1:42">
      <c r="A21" s="1">
        <v>15</v>
      </c>
      <c r="B21" s="5" t="s">
        <v>72</v>
      </c>
      <c r="C21" s="44">
        <f t="shared" si="8"/>
        <v>-7.3473143399999978</v>
      </c>
      <c r="D21" s="44">
        <f t="shared" si="9"/>
        <v>-50.758022610000005</v>
      </c>
      <c r="E21" s="49" t="s">
        <v>50</v>
      </c>
      <c r="H21" s="5" t="s">
        <v>72</v>
      </c>
      <c r="I21" s="44">
        <v>-22.91047446</v>
      </c>
      <c r="J21" s="44">
        <v>-43.010705830000006</v>
      </c>
      <c r="K21" s="44">
        <v>-40.598616540000009</v>
      </c>
      <c r="L21" s="44">
        <v>-3.2749097999999996</v>
      </c>
      <c r="M21" s="44">
        <v>-22.496929869999999</v>
      </c>
      <c r="N21" s="44">
        <v>-18.099470910000001</v>
      </c>
      <c r="O21" s="44">
        <v>-1.5190404399999999</v>
      </c>
      <c r="P21" s="44">
        <v>-2</v>
      </c>
      <c r="Q21" s="44">
        <v>-2.0902260800000003</v>
      </c>
      <c r="R21" s="44">
        <v>-23.231005809999996</v>
      </c>
      <c r="S21" s="44">
        <v>-13.097372880000002</v>
      </c>
      <c r="T21" s="44">
        <v>-2.91121008</v>
      </c>
      <c r="U21" s="44">
        <v>-6.969882909999999</v>
      </c>
      <c r="V21" s="44">
        <v>-16.593912970000002</v>
      </c>
      <c r="W21" s="44">
        <v>-4.990396689999999</v>
      </c>
      <c r="X21" s="44">
        <v>-2.59113864</v>
      </c>
      <c r="Y21" s="44">
        <v>-3.0085850299999999</v>
      </c>
      <c r="Z21" s="44">
        <v>-4.8410693299999998</v>
      </c>
      <c r="AA21" s="44">
        <v>-3.6377084799999992</v>
      </c>
      <c r="AB21" s="44">
        <f>+-3.58230685-AB56</f>
        <v>-3.5823068500000002</v>
      </c>
      <c r="AC21" s="44">
        <f>+-9.14473538-AC56</f>
        <v>-9.1447353800000002</v>
      </c>
      <c r="AD21" s="44">
        <v>-2.1464366200000002</v>
      </c>
      <c r="AE21" s="44">
        <v>-0.41594635999999952</v>
      </c>
      <c r="AF21" s="44">
        <f>+-0.974576780847656-AF56</f>
        <v>-0.97457678084765598</v>
      </c>
      <c r="AG21" s="44">
        <v>-4.2986809299999997</v>
      </c>
      <c r="AH21" s="44">
        <f>+-2.94319108-AH56</f>
        <v>-2.9431910800000001</v>
      </c>
      <c r="AI21" s="44">
        <v>-0.41815340000000006</v>
      </c>
      <c r="AJ21" s="44">
        <v>-1.86275127</v>
      </c>
      <c r="AK21" s="44">
        <f>+-16.70689078-AK56</f>
        <v>-16.706890779999998</v>
      </c>
      <c r="AL21" s="44">
        <v>-7.3473143399999978</v>
      </c>
      <c r="AM21" s="44">
        <v>-18.83520717</v>
      </c>
      <c r="AN21" s="44">
        <v>-6.1802511399999993</v>
      </c>
      <c r="AO21" s="44">
        <v>-7.0593287499999997</v>
      </c>
      <c r="AP21" s="44">
        <v>-50.758022610000005</v>
      </c>
    </row>
    <row r="22" spans="1:42">
      <c r="A22" s="1">
        <v>16</v>
      </c>
      <c r="B22" s="5" t="s">
        <v>73</v>
      </c>
      <c r="C22" s="44">
        <f t="shared" si="8"/>
        <v>-25.186136600000005</v>
      </c>
      <c r="D22" s="44">
        <f t="shared" si="9"/>
        <v>-31.993431799999996</v>
      </c>
      <c r="E22" s="36">
        <f t="shared" si="0"/>
        <v>0.27027945206967519</v>
      </c>
      <c r="H22" s="5" t="s">
        <v>73</v>
      </c>
      <c r="I22" s="44">
        <v>-23.41590613</v>
      </c>
      <c r="J22" s="44">
        <v>-25.471509249999997</v>
      </c>
      <c r="K22" s="44">
        <v>-24.229548649999998</v>
      </c>
      <c r="L22" s="44">
        <v>-19.288644770000001</v>
      </c>
      <c r="M22" s="44">
        <v>-26.610703540000006</v>
      </c>
      <c r="N22" s="44">
        <v>-22.176684440000002</v>
      </c>
      <c r="O22" s="44">
        <v>-20.448241290000002</v>
      </c>
      <c r="P22" s="44">
        <v>-8.4</v>
      </c>
      <c r="Q22" s="44">
        <v>-18.665973629999996</v>
      </c>
      <c r="R22" s="44">
        <v>-16.86084202</v>
      </c>
      <c r="S22" s="44">
        <v>-18.844166730000001</v>
      </c>
      <c r="T22" s="44">
        <v>-9.0097784399999981</v>
      </c>
      <c r="U22" s="44">
        <v>-18.267814120000004</v>
      </c>
      <c r="V22" s="44">
        <v>-19.587985530000005</v>
      </c>
      <c r="W22" s="44">
        <v>-21.775002570000002</v>
      </c>
      <c r="X22" s="44">
        <v>-14.182322660000001</v>
      </c>
      <c r="Y22" s="44">
        <v>-22.118387720000001</v>
      </c>
      <c r="Z22" s="44">
        <v>-22.376940360000003</v>
      </c>
      <c r="AA22" s="44">
        <v>-23.068639080000001</v>
      </c>
      <c r="AB22" s="44">
        <v>-19.234630080000002</v>
      </c>
      <c r="AC22" s="44">
        <v>-25.951997500000001</v>
      </c>
      <c r="AD22" s="44">
        <v>-25.329593030000002</v>
      </c>
      <c r="AE22" s="44">
        <v>-7.9583244999999962</v>
      </c>
      <c r="AF22" s="44">
        <v>-14.40621734</v>
      </c>
      <c r="AG22" s="44">
        <v>-20.795866490000002</v>
      </c>
      <c r="AH22" s="44">
        <v>-21.183902500000002</v>
      </c>
      <c r="AI22" s="44">
        <v>-17.545652830000002</v>
      </c>
      <c r="AJ22" s="44">
        <f>+-10.82531167-AJ56</f>
        <v>-9.905931429999999</v>
      </c>
      <c r="AK22" s="44">
        <v>-21.106550949999999</v>
      </c>
      <c r="AL22" s="44">
        <v>-25.186136600000005</v>
      </c>
      <c r="AM22" s="44">
        <v>-26.626581519999998</v>
      </c>
      <c r="AN22" s="44">
        <v>-16.740971340000002</v>
      </c>
      <c r="AO22" s="44">
        <v>-31.017013939999998</v>
      </c>
      <c r="AP22" s="44">
        <v>-31.993431799999996</v>
      </c>
    </row>
    <row r="23" spans="1:42">
      <c r="A23" s="1">
        <v>17</v>
      </c>
      <c r="B23" s="5" t="s">
        <v>100</v>
      </c>
      <c r="C23" s="44">
        <f t="shared" si="8"/>
        <v>-15.997802031244371</v>
      </c>
      <c r="D23" s="44">
        <f t="shared" si="9"/>
        <v>-14.375464381631071</v>
      </c>
      <c r="E23" s="36">
        <f t="shared" si="0"/>
        <v>-0.10141003410623584</v>
      </c>
      <c r="H23" s="5" t="s">
        <v>100</v>
      </c>
      <c r="I23" s="44">
        <v>-19.06721697</v>
      </c>
      <c r="J23" s="44">
        <v>-21.910840070000003</v>
      </c>
      <c r="K23" s="44">
        <v>-27.707132019999996</v>
      </c>
      <c r="L23" s="44">
        <v>-38.350595890000008</v>
      </c>
      <c r="M23" s="44">
        <v>-17.36380879</v>
      </c>
      <c r="N23" s="44">
        <v>-20.837634659999999</v>
      </c>
      <c r="O23" s="44">
        <v>-20.404946679999998</v>
      </c>
      <c r="P23" s="44">
        <v>-27.2</v>
      </c>
      <c r="Q23" s="44">
        <v>-16.163761940000001</v>
      </c>
      <c r="R23" s="44">
        <v>-18.221297059999998</v>
      </c>
      <c r="S23" s="44">
        <v>-18.850021900000002</v>
      </c>
      <c r="T23" s="44">
        <v>-14.534520140000001</v>
      </c>
      <c r="U23" s="44">
        <v>-19.276534640000001</v>
      </c>
      <c r="V23" s="44">
        <v>-20.162304949999999</v>
      </c>
      <c r="W23" s="44">
        <v>-24.425988220000001</v>
      </c>
      <c r="X23" s="44">
        <v>-28.84557053</v>
      </c>
      <c r="Y23" s="44">
        <v>-20.02226443</v>
      </c>
      <c r="Z23" s="44">
        <v>-22.141978789999996</v>
      </c>
      <c r="AA23" s="44">
        <v>-16.946930869999999</v>
      </c>
      <c r="AB23" s="44">
        <f>+-28.76885844-AB57</f>
        <v>-25.276053900000001</v>
      </c>
      <c r="AC23" s="44">
        <f>+-19.58196495-AC57</f>
        <v>-16.469341709999998</v>
      </c>
      <c r="AD23" s="44">
        <f>+-21.03649055-AD57</f>
        <v>-17.734178549999999</v>
      </c>
      <c r="AE23" s="44">
        <v>-16.571456010000002</v>
      </c>
      <c r="AF23" s="44">
        <f>+-23.46560624-AF57</f>
        <v>-20.113695880000002</v>
      </c>
      <c r="AG23" s="44">
        <f>+-13.36357333-AG57</f>
        <v>-11.41508732</v>
      </c>
      <c r="AH23" s="44">
        <f>+-17.51902408-AH57</f>
        <v>-14.984349530000001</v>
      </c>
      <c r="AI23" s="44">
        <f>+-12.96304668-AI57</f>
        <v>-10.719039779999999</v>
      </c>
      <c r="AJ23" s="44">
        <f>+-24.00240708-AJ57</f>
        <v>-20.103875870000003</v>
      </c>
      <c r="AK23" s="44">
        <f>+-12.00200043-AK57</f>
        <v>-10.502000430000001</v>
      </c>
      <c r="AL23" s="44">
        <v>-15.997802031244371</v>
      </c>
      <c r="AM23" s="44">
        <v>-13.307490901485496</v>
      </c>
      <c r="AN23" s="44">
        <v>-13.80962212000005</v>
      </c>
      <c r="AO23" s="44">
        <v>-13.021428770000005</v>
      </c>
      <c r="AP23" s="44">
        <v>-14.375464381631071</v>
      </c>
    </row>
    <row r="24" spans="1:42">
      <c r="A24" s="1">
        <v>18</v>
      </c>
      <c r="C24" s="33"/>
      <c r="D24" s="33"/>
      <c r="E24" s="40"/>
      <c r="I24" s="33"/>
      <c r="J24" s="33"/>
      <c r="K24" s="33"/>
      <c r="L24" s="33"/>
      <c r="M24" s="33"/>
      <c r="N24" s="33"/>
      <c r="O24" s="33"/>
      <c r="P24" s="33"/>
      <c r="Q24" s="33"/>
      <c r="R24" s="33"/>
      <c r="S24" s="33"/>
      <c r="T24" s="33"/>
      <c r="U24" s="33"/>
      <c r="V24" s="33"/>
      <c r="W24" s="33"/>
      <c r="X24" s="33"/>
      <c r="Y24" s="33"/>
      <c r="Z24" s="33"/>
      <c r="AA24" s="33"/>
      <c r="AB24" s="33"/>
      <c r="AC24" s="33"/>
      <c r="AD24" s="33"/>
      <c r="AE24" s="33"/>
      <c r="AF24" s="33"/>
      <c r="AG24" s="33"/>
      <c r="AH24" s="33"/>
      <c r="AI24" s="33"/>
      <c r="AJ24" s="33"/>
      <c r="AK24" s="33"/>
      <c r="AL24" s="33"/>
      <c r="AM24" s="33"/>
      <c r="AN24" s="33"/>
      <c r="AO24" s="33"/>
      <c r="AP24" s="33"/>
    </row>
    <row r="25" spans="1:42">
      <c r="A25" s="1">
        <v>19</v>
      </c>
      <c r="B25" s="2" t="s">
        <v>101</v>
      </c>
      <c r="C25" s="9">
        <f>C17+C10</f>
        <v>156.29404776474158</v>
      </c>
      <c r="D25" s="9">
        <f>D17+D10</f>
        <v>162.21798289443126</v>
      </c>
      <c r="E25" s="38">
        <f t="shared" si="0"/>
        <v>3.7902499899462372E-2</v>
      </c>
      <c r="F25" s="55"/>
      <c r="H25" s="2" t="s">
        <v>101</v>
      </c>
      <c r="I25" s="9">
        <f t="shared" ref="I25:AE25" si="10">I17+I10</f>
        <v>137.89374637000003</v>
      </c>
      <c r="J25" s="9">
        <f t="shared" si="10"/>
        <v>162.44525369000002</v>
      </c>
      <c r="K25" s="9">
        <f t="shared" si="10"/>
        <v>137.48338611999998</v>
      </c>
      <c r="L25" s="9">
        <f t="shared" si="10"/>
        <v>181.04590640999999</v>
      </c>
      <c r="M25" s="9">
        <f t="shared" si="10"/>
        <v>111.84702719000003</v>
      </c>
      <c r="N25" s="9">
        <f t="shared" si="10"/>
        <v>157.19356322000004</v>
      </c>
      <c r="O25" s="9">
        <f t="shared" si="10"/>
        <v>200.96953452999998</v>
      </c>
      <c r="P25" s="9">
        <f t="shared" si="10"/>
        <v>196.5</v>
      </c>
      <c r="Q25" s="9">
        <f t="shared" si="10"/>
        <v>174.20261859999999</v>
      </c>
      <c r="R25" s="9">
        <f t="shared" si="10"/>
        <v>165.02881524999998</v>
      </c>
      <c r="S25" s="9">
        <f t="shared" si="10"/>
        <v>130.51520865999996</v>
      </c>
      <c r="T25" s="9">
        <f t="shared" si="10"/>
        <v>169.52104676999997</v>
      </c>
      <c r="U25" s="9">
        <f t="shared" si="10"/>
        <v>167.14281708999997</v>
      </c>
      <c r="V25" s="9">
        <f t="shared" si="10"/>
        <v>170.80365676000002</v>
      </c>
      <c r="W25" s="9">
        <f t="shared" si="10"/>
        <v>185.34389436999996</v>
      </c>
      <c r="X25" s="9">
        <f t="shared" si="10"/>
        <v>217.99880021000004</v>
      </c>
      <c r="Y25" s="9">
        <f t="shared" si="10"/>
        <v>180.10621122000003</v>
      </c>
      <c r="Z25" s="9">
        <f t="shared" si="10"/>
        <v>167.37775774000008</v>
      </c>
      <c r="AA25" s="9">
        <f t="shared" si="10"/>
        <v>173.78870720000003</v>
      </c>
      <c r="AB25" s="9">
        <f t="shared" si="10"/>
        <v>230.59628267000002</v>
      </c>
      <c r="AC25" s="9">
        <f t="shared" si="10"/>
        <v>170.62513011000001</v>
      </c>
      <c r="AD25" s="9">
        <f t="shared" si="10"/>
        <v>178.36596232000002</v>
      </c>
      <c r="AE25" s="9">
        <f t="shared" si="10"/>
        <v>183.58786783000005</v>
      </c>
      <c r="AF25" s="9">
        <f t="shared" ref="AF25:AJ25" si="11">AF17+AF10</f>
        <v>187.48957726131368</v>
      </c>
      <c r="AG25" s="9">
        <f t="shared" si="11"/>
        <v>175.95360103000004</v>
      </c>
      <c r="AH25" s="9">
        <f t="shared" si="11"/>
        <v>166.56677347999999</v>
      </c>
      <c r="AI25" s="9">
        <f t="shared" si="11"/>
        <v>183.49524977999997</v>
      </c>
      <c r="AJ25" s="9">
        <f t="shared" si="11"/>
        <v>188.01667729907101</v>
      </c>
      <c r="AK25" s="9">
        <f>AK17+AK10</f>
        <v>151.8117141594561</v>
      </c>
      <c r="AL25" s="9">
        <f>AL17+AL10</f>
        <v>147.6328105792995</v>
      </c>
      <c r="AM25" s="9">
        <f>AM17+AM10</f>
        <v>80.644099838197235</v>
      </c>
      <c r="AN25" s="9">
        <v>177.22567208228426</v>
      </c>
      <c r="AO25" s="9">
        <v>149.74889408738284</v>
      </c>
      <c r="AP25" s="9">
        <v>162.21798289443126</v>
      </c>
    </row>
    <row r="26" spans="1:42">
      <c r="A26" s="1">
        <v>20</v>
      </c>
      <c r="C26" s="33"/>
      <c r="D26" s="33"/>
      <c r="E26" s="40"/>
      <c r="I26" s="33"/>
      <c r="J26" s="33"/>
      <c r="K26" s="33"/>
      <c r="L26" s="33"/>
      <c r="M26" s="33"/>
      <c r="N26" s="33"/>
      <c r="O26" s="33"/>
      <c r="P26" s="33"/>
      <c r="Q26" s="33"/>
      <c r="R26" s="33"/>
      <c r="S26" s="33"/>
      <c r="T26" s="33"/>
      <c r="U26" s="33"/>
      <c r="V26" s="33"/>
      <c r="W26" s="33"/>
      <c r="X26" s="33"/>
      <c r="Y26" s="33"/>
      <c r="Z26" s="33"/>
      <c r="AA26" s="33"/>
      <c r="AB26" s="33"/>
      <c r="AC26" s="33"/>
      <c r="AD26" s="33"/>
      <c r="AE26" s="33"/>
      <c r="AF26" s="33"/>
      <c r="AG26" s="33"/>
      <c r="AH26" s="33"/>
      <c r="AI26" s="33"/>
      <c r="AJ26" s="33"/>
      <c r="AK26" s="33"/>
      <c r="AL26" s="33"/>
      <c r="AM26" s="33"/>
      <c r="AN26" s="33"/>
      <c r="AO26" s="33"/>
      <c r="AP26" s="33"/>
    </row>
    <row r="27" spans="1:42">
      <c r="A27" s="1">
        <v>21</v>
      </c>
      <c r="B27" s="5" t="s">
        <v>76</v>
      </c>
      <c r="C27" s="44">
        <f>+HLOOKUP($C$7,$H$7:$AP$33,A27,FALSE)</f>
        <v>-20.045353354213699</v>
      </c>
      <c r="D27" s="44">
        <f t="shared" ref="D27:D29" si="12">+HLOOKUP($D$7,$H$7:$AP$33,A27,FALSE)</f>
        <v>-19.528978769894493</v>
      </c>
      <c r="E27" s="36">
        <f t="shared" si="0"/>
        <v>-2.5760313385079781E-2</v>
      </c>
      <c r="F27" s="54"/>
      <c r="G27" s="54"/>
      <c r="H27" s="5" t="s">
        <v>76</v>
      </c>
      <c r="I27" s="44">
        <v>-13.511288560000001</v>
      </c>
      <c r="J27" s="44">
        <v>-15.730694790000001</v>
      </c>
      <c r="K27" s="44">
        <v>-14.94375202</v>
      </c>
      <c r="L27" s="44">
        <v>-15.521342820000001</v>
      </c>
      <c r="M27" s="44">
        <v>-13.954037509999999</v>
      </c>
      <c r="N27" s="44">
        <v>-14.80528035</v>
      </c>
      <c r="O27" s="44">
        <v>-13.73918705</v>
      </c>
      <c r="P27" s="44">
        <v>-13.4</v>
      </c>
      <c r="Q27" s="44">
        <v>-14.19469086</v>
      </c>
      <c r="R27" s="44">
        <v>-15.02867498</v>
      </c>
      <c r="S27" s="44">
        <v>-16.110477190000001</v>
      </c>
      <c r="T27" s="44">
        <v>-16.584576090000002</v>
      </c>
      <c r="U27" s="44">
        <v>-15.693575970000001</v>
      </c>
      <c r="V27" s="44">
        <v>-16.256828450000004</v>
      </c>
      <c r="W27" s="44">
        <v>-17.746854899999999</v>
      </c>
      <c r="X27" s="44">
        <v>-21.240113520000001</v>
      </c>
      <c r="Y27" s="44">
        <v>-19.39190297</v>
      </c>
      <c r="Z27" s="44">
        <v>-18.475289360000001</v>
      </c>
      <c r="AA27" s="44">
        <v>-17.7550566</v>
      </c>
      <c r="AB27" s="44">
        <f>+-19.52008206-AB61</f>
        <v>-18.015688310000002</v>
      </c>
      <c r="AC27" s="44">
        <f>+-18.14563445-AC61</f>
        <v>-16.681628180000001</v>
      </c>
      <c r="AD27" s="44">
        <v>-17.086857370000001</v>
      </c>
      <c r="AE27" s="44">
        <v>-16.935537579999995</v>
      </c>
      <c r="AF27" s="44">
        <v>-17.459000799999998</v>
      </c>
      <c r="AG27" s="44">
        <f>+-15.10311077-AG61</f>
        <v>-13.503110770000001</v>
      </c>
      <c r="AH27" s="44">
        <f>+-15.96317607-AH61</f>
        <v>-14.437053499999999</v>
      </c>
      <c r="AI27" s="44">
        <f>+-16.54621755-AI61</f>
        <v>-15.012555730000001</v>
      </c>
      <c r="AJ27" s="44">
        <f>+-17.7444132051426-AJ61</f>
        <v>-16.2179583251426</v>
      </c>
      <c r="AK27" s="44">
        <f>+-21.2684943257862-AK61</f>
        <v>-19.428022205786199</v>
      </c>
      <c r="AL27" s="44">
        <f>+-21.5443199442137-AL61</f>
        <v>-20.045353354213699</v>
      </c>
      <c r="AM27" s="44">
        <f>+-19.2992554288968-AM61</f>
        <v>-17.735888498896799</v>
      </c>
      <c r="AN27" s="44">
        <v>-16.079637595259822</v>
      </c>
      <c r="AO27" s="44">
        <v>-17.634083860105498</v>
      </c>
      <c r="AP27" s="44">
        <v>-19.528978769894493</v>
      </c>
    </row>
    <row r="28" spans="1:42">
      <c r="A28" s="1">
        <v>22</v>
      </c>
      <c r="B28" s="5" t="s">
        <v>102</v>
      </c>
      <c r="C28" s="44">
        <f t="shared" ref="C28:C29" si="13">+HLOOKUP($C$7,$H$7:$AP$33,A28,FALSE)</f>
        <v>-12.549477400241095</v>
      </c>
      <c r="D28" s="44">
        <f t="shared" si="12"/>
        <v>-11.597439940000083</v>
      </c>
      <c r="E28" s="36">
        <f t="shared" si="0"/>
        <v>-7.5862717615852393E-2</v>
      </c>
      <c r="H28" s="5" t="s">
        <v>102</v>
      </c>
      <c r="I28" s="44">
        <v>-4.6297593400000006</v>
      </c>
      <c r="J28" s="44">
        <v>-5.884523660000001</v>
      </c>
      <c r="K28" s="44">
        <v>-5.5682920600000001</v>
      </c>
      <c r="L28" s="44">
        <v>-6.5220293500000004</v>
      </c>
      <c r="M28" s="44">
        <v>-5.1150877699999997</v>
      </c>
      <c r="N28" s="44">
        <v>-6.0219605700000001</v>
      </c>
      <c r="O28" s="44">
        <v>-6.3402090600000003</v>
      </c>
      <c r="P28" s="44">
        <v>-11</v>
      </c>
      <c r="Q28" s="44">
        <v>-6.5020823799999965</v>
      </c>
      <c r="R28" s="44">
        <v>-8.009772479999997</v>
      </c>
      <c r="S28" s="44">
        <v>-7.9525749999999995</v>
      </c>
      <c r="T28" s="44">
        <v>-9.1727891499999981</v>
      </c>
      <c r="U28" s="44">
        <v>-8.0615386299999994</v>
      </c>
      <c r="V28" s="44">
        <v>-6.9816923099999997</v>
      </c>
      <c r="W28" s="44">
        <v>-7.0422980900000001</v>
      </c>
      <c r="X28" s="44">
        <v>-9.7220474300000017</v>
      </c>
      <c r="Y28" s="44">
        <v>-7.0583630999999993</v>
      </c>
      <c r="Z28" s="44">
        <v>-7.2230401099999986</v>
      </c>
      <c r="AA28" s="44">
        <v>-7.0517470699999993</v>
      </c>
      <c r="AB28" s="44">
        <f>+-10.4942574-AB62</f>
        <v>-9.1196006500000006</v>
      </c>
      <c r="AC28" s="44">
        <f>+-5.57047109-AC62</f>
        <v>-5.0442705099999996</v>
      </c>
      <c r="AD28" s="44">
        <v>-5.9828553699999993</v>
      </c>
      <c r="AE28" s="44">
        <v>-3.9182373899999976</v>
      </c>
      <c r="AF28" s="44">
        <v>-6.08522447</v>
      </c>
      <c r="AG28" s="44">
        <f>+-11.13666763-AG62</f>
        <v>-9.6851536399999993</v>
      </c>
      <c r="AH28" s="44">
        <f>+-10.3069637-AH62</f>
        <v>-10.39199872</v>
      </c>
      <c r="AI28" s="44">
        <f>+-10.66756838-AI62</f>
        <v>-9.15303383</v>
      </c>
      <c r="AJ28" s="44">
        <f>+-8.86662309606035-AJ62</f>
        <v>-8.1298155560603504</v>
      </c>
      <c r="AK28" s="44">
        <f>+-13.7149330412444-AK62</f>
        <v>-11.9634325012444</v>
      </c>
      <c r="AL28" s="44">
        <f>+-14.3817598902411-AL62</f>
        <v>-12.549477400241095</v>
      </c>
      <c r="AM28" s="44">
        <f>+-12.6791239312444-AM62</f>
        <v>-10.935863541244405</v>
      </c>
      <c r="AN28" s="44">
        <v>-15.05374818999994</v>
      </c>
      <c r="AO28" s="44">
        <v>-11.531036829999994</v>
      </c>
      <c r="AP28" s="44">
        <v>-11.597439940000083</v>
      </c>
    </row>
    <row r="29" spans="1:42">
      <c r="A29" s="1">
        <v>23</v>
      </c>
      <c r="B29" s="5" t="s">
        <v>78</v>
      </c>
      <c r="C29" s="44">
        <f t="shared" si="13"/>
        <v>-43.349546447046599</v>
      </c>
      <c r="D29" s="44">
        <f t="shared" si="12"/>
        <v>-46.399168885673078</v>
      </c>
      <c r="E29" s="36">
        <f t="shared" si="0"/>
        <v>7.0349581219995683E-2</v>
      </c>
      <c r="H29" s="5" t="s">
        <v>78</v>
      </c>
      <c r="I29" s="44">
        <v>-41.951805570000005</v>
      </c>
      <c r="J29" s="44">
        <v>-46.185509760000002</v>
      </c>
      <c r="K29" s="44">
        <v>-46.341475529999997</v>
      </c>
      <c r="L29" s="44">
        <v>-47.895657579999998</v>
      </c>
      <c r="M29" s="44">
        <v>-47.45246057</v>
      </c>
      <c r="N29" s="44">
        <v>-48.384940369999995</v>
      </c>
      <c r="O29" s="44">
        <v>-48.861872340000005</v>
      </c>
      <c r="P29" s="44">
        <v>-49</v>
      </c>
      <c r="Q29" s="44">
        <v>-47.859028649999999</v>
      </c>
      <c r="R29" s="44">
        <v>-47.103709719999998</v>
      </c>
      <c r="S29" s="44">
        <v>-49.023684110000005</v>
      </c>
      <c r="T29" s="44">
        <v>-52.043309690000001</v>
      </c>
      <c r="U29" s="44">
        <v>-51.537491310000007</v>
      </c>
      <c r="V29" s="44">
        <v>-52.338320930000002</v>
      </c>
      <c r="W29" s="44">
        <v>-51.70911498000001</v>
      </c>
      <c r="X29" s="44">
        <v>-35.670721700000001</v>
      </c>
      <c r="Y29" s="44">
        <v>-50.468340229999995</v>
      </c>
      <c r="Z29" s="44">
        <v>-50.577710360000012</v>
      </c>
      <c r="AA29" s="44">
        <v>-51.21465688</v>
      </c>
      <c r="AB29" s="44">
        <f>+-60.0190398-AB63</f>
        <v>-51.431602030000001</v>
      </c>
      <c r="AC29" s="44">
        <f>+-62.31854023-AC63</f>
        <v>-51.456948539999999</v>
      </c>
      <c r="AD29" s="44">
        <v>-52.281024099999996</v>
      </c>
      <c r="AE29" s="44">
        <v>-52.09153554000001</v>
      </c>
      <c r="AF29" s="44">
        <v>-48.783084410000029</v>
      </c>
      <c r="AG29" s="44">
        <f>+-60.57309273-AG63</f>
        <v>-49.373092729999996</v>
      </c>
      <c r="AH29" s="44">
        <f>+-60.98348462-AH63</f>
        <v>-49.504984109999995</v>
      </c>
      <c r="AI29" s="44">
        <f>+-62.10269554-AI63</f>
        <v>-49.919730049999998</v>
      </c>
      <c r="AJ29" s="44">
        <f>+-62.95540184-AJ63</f>
        <v>-51.263780879999999</v>
      </c>
      <c r="AK29" s="44">
        <f>+-55.4260933129534-AK63</f>
        <v>-46.478154362953397</v>
      </c>
      <c r="AL29" s="44">
        <f>+-52.1342169370466-AL63</f>
        <v>-43.349546447046599</v>
      </c>
      <c r="AM29" s="44">
        <f>+-58.9511341537851-AM63</f>
        <v>-50.170863743785098</v>
      </c>
      <c r="AN29" s="44">
        <v>-43.716920891246126</v>
      </c>
      <c r="AO29" s="44">
        <v>-43.999264936535113</v>
      </c>
      <c r="AP29" s="44">
        <v>-46.399168885673078</v>
      </c>
    </row>
    <row r="30" spans="1:42">
      <c r="A30" s="1">
        <v>24</v>
      </c>
      <c r="C30" s="33"/>
      <c r="D30" s="33"/>
      <c r="E30" s="40"/>
      <c r="I30" s="33"/>
      <c r="J30" s="33"/>
      <c r="K30" s="33"/>
      <c r="L30" s="33"/>
      <c r="M30" s="33"/>
      <c r="N30" s="33"/>
      <c r="O30" s="33"/>
      <c r="P30" s="33"/>
      <c r="Q30" s="33"/>
      <c r="R30" s="33"/>
      <c r="S30" s="33"/>
      <c r="T30" s="33"/>
      <c r="U30" s="33"/>
      <c r="V30" s="33"/>
      <c r="W30" s="33"/>
      <c r="X30" s="33"/>
      <c r="Y30" s="33"/>
      <c r="Z30" s="33"/>
      <c r="AA30" s="33"/>
      <c r="AB30" s="33"/>
      <c r="AC30" s="33"/>
      <c r="AD30" s="33"/>
      <c r="AE30" s="33"/>
      <c r="AF30" s="33"/>
      <c r="AG30" s="33"/>
      <c r="AH30" s="33"/>
      <c r="AI30" s="33"/>
      <c r="AJ30" s="33"/>
      <c r="AK30" s="33"/>
      <c r="AL30" s="33"/>
      <c r="AM30" s="33"/>
      <c r="AN30" s="33"/>
      <c r="AO30" s="33"/>
      <c r="AP30" s="33"/>
    </row>
    <row r="31" spans="1:42">
      <c r="A31" s="1">
        <v>25</v>
      </c>
      <c r="B31" s="2" t="s">
        <v>103</v>
      </c>
      <c r="C31" s="9">
        <f>C25+C27+C28+C29</f>
        <v>80.349670563240181</v>
      </c>
      <c r="D31" s="9">
        <f t="shared" ref="D31" si="14">D25+D27+D28+D29</f>
        <v>84.69239529886363</v>
      </c>
      <c r="E31" s="38">
        <f t="shared" si="0"/>
        <v>5.4047822538431545E-2</v>
      </c>
      <c r="H31" s="2" t="s">
        <v>103</v>
      </c>
      <c r="I31" s="9">
        <f t="shared" ref="I31:AE31" si="15">I25+I27+I28+I29</f>
        <v>77.800892900000022</v>
      </c>
      <c r="J31" s="9">
        <f t="shared" si="15"/>
        <v>94.644525479999999</v>
      </c>
      <c r="K31" s="9">
        <f t="shared" si="15"/>
        <v>70.629866509999971</v>
      </c>
      <c r="L31" s="9">
        <f t="shared" si="15"/>
        <v>111.10687665999998</v>
      </c>
      <c r="M31" s="9">
        <f t="shared" si="15"/>
        <v>45.325441340000026</v>
      </c>
      <c r="N31" s="9">
        <f t="shared" si="15"/>
        <v>87.98138193000004</v>
      </c>
      <c r="O31" s="9">
        <f t="shared" si="15"/>
        <v>132.02826607999998</v>
      </c>
      <c r="P31" s="9">
        <f t="shared" si="15"/>
        <v>123.1</v>
      </c>
      <c r="Q31" s="9">
        <f t="shared" si="15"/>
        <v>105.64681671</v>
      </c>
      <c r="R31" s="9">
        <f t="shared" si="15"/>
        <v>94.886658069999967</v>
      </c>
      <c r="S31" s="9">
        <f t="shared" si="15"/>
        <v>57.428472359999958</v>
      </c>
      <c r="T31" s="9">
        <f t="shared" si="15"/>
        <v>91.720371839999956</v>
      </c>
      <c r="U31" s="9">
        <f t="shared" si="15"/>
        <v>91.850211179999945</v>
      </c>
      <c r="V31" s="9">
        <f t="shared" si="15"/>
        <v>95.226815070000015</v>
      </c>
      <c r="W31" s="9">
        <f t="shared" si="15"/>
        <v>108.84562639999996</v>
      </c>
      <c r="X31" s="9">
        <f t="shared" si="15"/>
        <v>151.36591756000004</v>
      </c>
      <c r="Y31" s="9">
        <f t="shared" si="15"/>
        <v>103.18760492000004</v>
      </c>
      <c r="Z31" s="9">
        <f t="shared" si="15"/>
        <v>91.101717910000062</v>
      </c>
      <c r="AA31" s="9">
        <f t="shared" si="15"/>
        <v>97.767246650000033</v>
      </c>
      <c r="AB31" s="9">
        <f t="shared" si="15"/>
        <v>152.02939168000003</v>
      </c>
      <c r="AC31" s="9">
        <f t="shared" si="15"/>
        <v>97.442282880000036</v>
      </c>
      <c r="AD31" s="9">
        <f t="shared" si="15"/>
        <v>103.01522548000003</v>
      </c>
      <c r="AE31" s="9">
        <f t="shared" si="15"/>
        <v>110.64255732000005</v>
      </c>
      <c r="AF31" s="9">
        <f>AF25+AF27+AF28+AF29</f>
        <v>115.16226758131363</v>
      </c>
      <c r="AG31" s="9">
        <f t="shared" ref="AG31:AM31" si="16">AG25+AG27+AG28+AG29</f>
        <v>103.39224389000003</v>
      </c>
      <c r="AH31" s="9">
        <f t="shared" si="16"/>
        <v>92.232737150000005</v>
      </c>
      <c r="AI31" s="9">
        <f t="shared" si="16"/>
        <v>109.40993016999997</v>
      </c>
      <c r="AJ31" s="9">
        <f t="shared" si="16"/>
        <v>112.40512253786805</v>
      </c>
      <c r="AK31" s="9">
        <f t="shared" si="16"/>
        <v>73.942105089472108</v>
      </c>
      <c r="AL31" s="9">
        <f t="shared" si="16"/>
        <v>71.688433377798106</v>
      </c>
      <c r="AM31" s="9">
        <f t="shared" si="16"/>
        <v>1.8014840542709365</v>
      </c>
      <c r="AN31" s="9">
        <f>AN25+AN27+AN28+AN29</f>
        <v>102.37536540577838</v>
      </c>
      <c r="AO31" s="9">
        <f>AO25+AO27+AO28+AO29</f>
        <v>76.584508460742228</v>
      </c>
      <c r="AP31" s="9">
        <f>AP25+AP27+AP28+AP29</f>
        <v>84.69239529886363</v>
      </c>
    </row>
    <row r="32" spans="1:42">
      <c r="A32" s="1">
        <v>26</v>
      </c>
      <c r="B32" s="41"/>
      <c r="C32" s="42"/>
      <c r="D32" s="42"/>
      <c r="E32" s="43"/>
      <c r="H32" s="41"/>
      <c r="I32" s="42"/>
      <c r="J32" s="42"/>
      <c r="K32" s="42"/>
      <c r="L32" s="42"/>
      <c r="M32" s="42"/>
      <c r="N32" s="42"/>
      <c r="O32" s="42"/>
      <c r="P32" s="42"/>
      <c r="Q32" s="42"/>
      <c r="R32" s="42"/>
      <c r="S32" s="42"/>
      <c r="T32" s="42"/>
      <c r="U32" s="42"/>
      <c r="V32" s="42"/>
      <c r="W32" s="42"/>
      <c r="X32" s="42"/>
      <c r="Y32" s="42"/>
      <c r="Z32" s="42"/>
      <c r="AA32" s="42"/>
      <c r="AB32" s="42"/>
      <c r="AC32" s="42"/>
      <c r="AD32" s="42"/>
      <c r="AE32" s="42"/>
      <c r="AF32" s="42"/>
      <c r="AG32" s="42"/>
      <c r="AH32" s="42"/>
      <c r="AI32" s="42"/>
      <c r="AJ32" s="42"/>
      <c r="AK32" s="42"/>
      <c r="AL32" s="42"/>
      <c r="AM32" s="42"/>
      <c r="AN32" s="42"/>
      <c r="AO32" s="42"/>
      <c r="AP32" s="42"/>
    </row>
    <row r="33" spans="1:43">
      <c r="A33" s="1">
        <v>27</v>
      </c>
      <c r="B33" s="2" t="s">
        <v>80</v>
      </c>
      <c r="C33" s="9">
        <f>C31-C29</f>
        <v>123.69921701028679</v>
      </c>
      <c r="D33" s="9">
        <f>D31-D29</f>
        <v>131.09156418453671</v>
      </c>
      <c r="E33" s="38">
        <f t="shared" si="0"/>
        <v>5.9760662621131777E-2</v>
      </c>
      <c r="F33" s="86"/>
      <c r="H33" s="2" t="s">
        <v>80</v>
      </c>
      <c r="I33" s="9">
        <f t="shared" ref="I33:AE33" si="17">I31-I29</f>
        <v>119.75269847000003</v>
      </c>
      <c r="J33" s="9">
        <f t="shared" si="17"/>
        <v>140.83003524</v>
      </c>
      <c r="K33" s="9">
        <f t="shared" si="17"/>
        <v>116.97134203999997</v>
      </c>
      <c r="L33" s="9">
        <f t="shared" si="17"/>
        <v>159.00253423999999</v>
      </c>
      <c r="M33" s="9">
        <f t="shared" si="17"/>
        <v>92.777901910000026</v>
      </c>
      <c r="N33" s="9">
        <f t="shared" si="17"/>
        <v>136.36632230000004</v>
      </c>
      <c r="O33" s="9">
        <f t="shared" si="17"/>
        <v>180.89013841999997</v>
      </c>
      <c r="P33" s="9">
        <f t="shared" si="17"/>
        <v>172.1</v>
      </c>
      <c r="Q33" s="9">
        <f t="shared" si="17"/>
        <v>153.50584536</v>
      </c>
      <c r="R33" s="9">
        <f t="shared" si="17"/>
        <v>141.99036778999996</v>
      </c>
      <c r="S33" s="9">
        <f t="shared" si="17"/>
        <v>106.45215646999996</v>
      </c>
      <c r="T33" s="9">
        <f t="shared" si="17"/>
        <v>143.76368152999996</v>
      </c>
      <c r="U33" s="9">
        <f t="shared" si="17"/>
        <v>143.38770248999995</v>
      </c>
      <c r="V33" s="9">
        <f t="shared" si="17"/>
        <v>147.56513600000002</v>
      </c>
      <c r="W33" s="9">
        <f t="shared" si="17"/>
        <v>160.55474137999997</v>
      </c>
      <c r="X33" s="9">
        <f t="shared" si="17"/>
        <v>187.03663926000004</v>
      </c>
      <c r="Y33" s="9">
        <f t="shared" si="17"/>
        <v>153.65594515000004</v>
      </c>
      <c r="Z33" s="9">
        <f t="shared" si="17"/>
        <v>141.67942827000007</v>
      </c>
      <c r="AA33" s="9">
        <f t="shared" si="17"/>
        <v>148.98190353000004</v>
      </c>
      <c r="AB33" s="9">
        <f t="shared" si="17"/>
        <v>203.46099371000003</v>
      </c>
      <c r="AC33" s="9">
        <f t="shared" si="17"/>
        <v>148.89923142000004</v>
      </c>
      <c r="AD33" s="9">
        <f t="shared" si="17"/>
        <v>155.29624958000002</v>
      </c>
      <c r="AE33" s="9">
        <f t="shared" si="17"/>
        <v>162.73409286000006</v>
      </c>
      <c r="AF33" s="9">
        <f>AF31-AF29</f>
        <v>163.94535199131366</v>
      </c>
      <c r="AG33" s="9">
        <f>172.34723633-AG67</f>
        <v>152.76533661999997</v>
      </c>
      <c r="AH33" s="9">
        <f>155.26443032-AH67</f>
        <v>141.73772126</v>
      </c>
      <c r="AI33" s="9">
        <f>174.98602269-AI67</f>
        <v>159.32966021999999</v>
      </c>
      <c r="AJ33" s="9">
        <f>AJ31-AJ29</f>
        <v>163.66890341786805</v>
      </c>
      <c r="AK33" s="9">
        <f>137.354311322426-AK67</f>
        <v>120.42025945242602</v>
      </c>
      <c r="AL33" s="9">
        <v>115.09148957484453</v>
      </c>
      <c r="AM33" s="9">
        <f>146.649248797271-AM67</f>
        <v>126.78651550727102</v>
      </c>
      <c r="AN33" s="9">
        <v>146.092286297025</v>
      </c>
      <c r="AO33" s="9">
        <v>120.58377339727734</v>
      </c>
      <c r="AP33" s="9">
        <v>131.09156418453668</v>
      </c>
    </row>
    <row r="35" spans="1:43">
      <c r="B35" s="122" t="s">
        <v>104</v>
      </c>
      <c r="C35" s="122"/>
      <c r="D35" s="122"/>
      <c r="E35" s="122"/>
      <c r="F35" s="122"/>
      <c r="G35" s="122"/>
      <c r="H35" s="122"/>
      <c r="I35" s="122"/>
      <c r="J35" s="122"/>
      <c r="K35" s="122"/>
      <c r="L35" s="122"/>
      <c r="M35" s="122"/>
      <c r="N35" s="122"/>
      <c r="O35" s="122"/>
      <c r="P35" s="122"/>
      <c r="Q35" s="122"/>
      <c r="R35" s="122"/>
      <c r="S35" s="122"/>
      <c r="T35" s="122"/>
      <c r="U35" s="122"/>
      <c r="V35" s="122"/>
      <c r="W35" s="122"/>
      <c r="X35" s="122"/>
      <c r="Y35" s="122"/>
      <c r="Z35" s="122"/>
      <c r="AA35" s="122"/>
      <c r="AB35" s="122"/>
      <c r="AC35" s="122"/>
      <c r="AD35" s="122"/>
      <c r="AE35" s="122"/>
      <c r="AF35" s="122"/>
      <c r="AG35" s="122"/>
      <c r="AH35" s="122"/>
      <c r="AI35" s="122"/>
      <c r="AJ35" s="122"/>
      <c r="AK35" s="122"/>
      <c r="AL35" s="122"/>
      <c r="AM35" s="122"/>
      <c r="AN35" s="122"/>
    </row>
    <row r="36" spans="1:43">
      <c r="B36" s="122"/>
      <c r="C36" s="122"/>
      <c r="D36" s="122"/>
      <c r="E36" s="122"/>
      <c r="F36" s="122"/>
      <c r="G36" s="122"/>
      <c r="H36" s="122"/>
      <c r="I36" s="122"/>
      <c r="J36" s="122"/>
      <c r="K36" s="122"/>
      <c r="L36" s="122"/>
      <c r="M36" s="122"/>
      <c r="N36" s="122"/>
      <c r="O36" s="122"/>
      <c r="P36" s="122"/>
      <c r="Q36" s="122"/>
      <c r="R36" s="122"/>
      <c r="S36" s="122"/>
      <c r="T36" s="122"/>
      <c r="U36" s="122"/>
      <c r="V36" s="122"/>
      <c r="W36" s="122"/>
      <c r="X36" s="122"/>
      <c r="Y36" s="122"/>
      <c r="Z36" s="122"/>
      <c r="AA36" s="122"/>
      <c r="AB36" s="122"/>
      <c r="AC36" s="122"/>
      <c r="AD36" s="122"/>
      <c r="AE36" s="122"/>
      <c r="AF36" s="122"/>
      <c r="AG36" s="122"/>
      <c r="AH36" s="122"/>
      <c r="AI36" s="122"/>
      <c r="AJ36" s="122"/>
      <c r="AK36" s="122"/>
      <c r="AL36" s="122"/>
      <c r="AM36" s="122"/>
      <c r="AN36" s="122"/>
    </row>
    <row r="37" spans="1:43" ht="28.5" customHeight="1">
      <c r="B37" s="122"/>
      <c r="C37" s="122"/>
      <c r="D37" s="122"/>
      <c r="E37" s="122"/>
      <c r="F37" s="122"/>
      <c r="G37" s="122"/>
      <c r="H37" s="122"/>
      <c r="I37" s="122"/>
      <c r="J37" s="122"/>
      <c r="K37" s="122"/>
      <c r="L37" s="122"/>
      <c r="M37" s="122"/>
      <c r="N37" s="122"/>
      <c r="O37" s="122"/>
      <c r="P37" s="122"/>
      <c r="Q37" s="122"/>
      <c r="R37" s="122"/>
      <c r="S37" s="122"/>
      <c r="T37" s="122"/>
      <c r="U37" s="122"/>
      <c r="V37" s="122"/>
      <c r="W37" s="122"/>
      <c r="X37" s="122"/>
      <c r="Y37" s="122"/>
      <c r="Z37" s="122"/>
      <c r="AA37" s="122"/>
      <c r="AB37" s="122"/>
      <c r="AC37" s="122"/>
      <c r="AD37" s="122"/>
      <c r="AE37" s="122"/>
      <c r="AF37" s="122"/>
      <c r="AG37" s="122"/>
      <c r="AH37" s="122"/>
      <c r="AI37" s="122"/>
      <c r="AJ37" s="122"/>
      <c r="AK37" s="122"/>
      <c r="AL37" s="122"/>
      <c r="AM37" s="122"/>
      <c r="AN37" s="122"/>
    </row>
    <row r="38" spans="1:43" ht="28.5" customHeight="1">
      <c r="B38" s="96"/>
      <c r="C38" s="96"/>
      <c r="D38" s="96"/>
      <c r="E38" s="115"/>
      <c r="F38" s="96"/>
      <c r="G38" s="96"/>
      <c r="H38" s="96"/>
      <c r="I38" s="96"/>
      <c r="J38" s="96"/>
      <c r="K38" s="96"/>
      <c r="L38" s="96"/>
      <c r="M38" s="96"/>
      <c r="N38" s="96"/>
      <c r="O38" s="96"/>
      <c r="P38" s="96"/>
      <c r="Q38" s="96"/>
      <c r="R38" s="96"/>
      <c r="S38" s="96"/>
      <c r="T38" s="96"/>
      <c r="U38" s="96"/>
      <c r="V38" s="96"/>
      <c r="W38" s="96"/>
      <c r="X38" s="96"/>
      <c r="Y38" s="96"/>
      <c r="Z38" s="96"/>
      <c r="AA38" s="96"/>
      <c r="AB38" s="96"/>
      <c r="AC38" s="96"/>
      <c r="AD38" s="96"/>
      <c r="AE38" s="96"/>
      <c r="AF38" s="96"/>
      <c r="AG38" s="96"/>
      <c r="AH38" s="96"/>
      <c r="AI38" s="96"/>
      <c r="AJ38" s="96"/>
      <c r="AK38" s="96"/>
      <c r="AL38" s="96"/>
      <c r="AM38" s="96"/>
      <c r="AN38" s="96"/>
      <c r="AO38" s="96"/>
    </row>
    <row r="39" spans="1:43" ht="28.5" customHeight="1"/>
    <row r="40" spans="1:43" ht="23.25">
      <c r="B40" s="12" t="s">
        <v>57</v>
      </c>
      <c r="C40" s="13"/>
      <c r="D40" s="13"/>
      <c r="E40" s="13"/>
      <c r="H40" s="12" t="s">
        <v>57</v>
      </c>
      <c r="I40" s="13"/>
      <c r="J40" s="13"/>
      <c r="K40" s="13"/>
      <c r="L40" s="13"/>
      <c r="M40" s="13"/>
      <c r="N40" s="13"/>
      <c r="O40" s="13"/>
      <c r="P40" s="13"/>
      <c r="Q40" s="13"/>
      <c r="R40" s="13"/>
      <c r="S40" s="13"/>
      <c r="T40" s="13"/>
      <c r="U40" s="13"/>
      <c r="V40" s="13"/>
      <c r="W40" s="13"/>
      <c r="X40" s="13"/>
      <c r="Y40" s="13"/>
      <c r="Z40" s="13"/>
      <c r="AA40" s="13"/>
      <c r="AB40" s="13"/>
      <c r="AC40" s="13"/>
      <c r="AD40" s="13"/>
      <c r="AE40" s="13"/>
      <c r="AF40" s="13"/>
      <c r="AG40" s="13"/>
      <c r="AH40" s="13"/>
      <c r="AI40" s="13"/>
      <c r="AJ40" s="13"/>
      <c r="AK40" s="13"/>
      <c r="AL40" s="13"/>
      <c r="AM40" s="13"/>
      <c r="AN40" s="13"/>
      <c r="AO40" s="13"/>
      <c r="AP40" s="13"/>
    </row>
    <row r="41" spans="1:43" ht="9" customHeight="1"/>
    <row r="42" spans="1:43">
      <c r="A42" s="1">
        <v>1</v>
      </c>
      <c r="B42" s="3" t="s">
        <v>94</v>
      </c>
      <c r="C42" s="117" t="s">
        <v>34</v>
      </c>
      <c r="D42" s="117" t="s">
        <v>148</v>
      </c>
      <c r="E42" s="117" t="s">
        <v>95</v>
      </c>
      <c r="H42" s="3" t="s">
        <v>105</v>
      </c>
      <c r="I42" s="117" t="s">
        <v>6</v>
      </c>
      <c r="J42" s="117" t="s">
        <v>7</v>
      </c>
      <c r="K42" s="117" t="s">
        <v>8</v>
      </c>
      <c r="L42" s="117" t="s">
        <v>9</v>
      </c>
      <c r="M42" s="117" t="s">
        <v>10</v>
      </c>
      <c r="N42" s="117" t="s">
        <v>11</v>
      </c>
      <c r="O42" s="117" t="s">
        <v>12</v>
      </c>
      <c r="P42" s="117" t="s">
        <v>13</v>
      </c>
      <c r="Q42" s="117" t="s">
        <v>14</v>
      </c>
      <c r="R42" s="117" t="s">
        <v>15</v>
      </c>
      <c r="S42" s="117" t="s">
        <v>16</v>
      </c>
      <c r="T42" s="117" t="s">
        <v>17</v>
      </c>
      <c r="U42" s="117" t="s">
        <v>18</v>
      </c>
      <c r="V42" s="117" t="s">
        <v>19</v>
      </c>
      <c r="W42" s="117" t="s">
        <v>20</v>
      </c>
      <c r="X42" s="117" t="s">
        <v>21</v>
      </c>
      <c r="Y42" s="117" t="s">
        <v>22</v>
      </c>
      <c r="Z42" s="117" t="s">
        <v>23</v>
      </c>
      <c r="AA42" s="117" t="s">
        <v>24</v>
      </c>
      <c r="AB42" s="117" t="s">
        <v>25</v>
      </c>
      <c r="AC42" s="117" t="s">
        <v>26</v>
      </c>
      <c r="AD42" s="117" t="s">
        <v>63</v>
      </c>
      <c r="AE42" s="117" t="s">
        <v>106</v>
      </c>
      <c r="AF42" s="117" t="s">
        <v>107</v>
      </c>
      <c r="AG42" s="117" t="s">
        <v>30</v>
      </c>
      <c r="AH42" s="117" t="s">
        <v>31</v>
      </c>
      <c r="AI42" s="117" t="s">
        <v>32</v>
      </c>
      <c r="AJ42" s="117" t="s">
        <v>33</v>
      </c>
      <c r="AK42" s="117" t="s">
        <v>2</v>
      </c>
      <c r="AL42" s="117" t="s">
        <v>34</v>
      </c>
      <c r="AM42" s="117" t="s">
        <v>35</v>
      </c>
      <c r="AN42" s="117" t="s">
        <v>36</v>
      </c>
      <c r="AO42" s="117" t="s">
        <v>3</v>
      </c>
      <c r="AP42" s="117" t="s">
        <v>148</v>
      </c>
    </row>
    <row r="43" spans="1:43">
      <c r="A43" s="1">
        <v>2</v>
      </c>
      <c r="B43" s="3" t="s">
        <v>64</v>
      </c>
      <c r="C43" s="117"/>
      <c r="D43" s="117" t="s">
        <v>26</v>
      </c>
      <c r="E43" s="117"/>
      <c r="H43" s="3" t="s">
        <v>64</v>
      </c>
      <c r="I43" s="117"/>
      <c r="J43" s="117"/>
      <c r="K43" s="117"/>
      <c r="L43" s="117"/>
      <c r="M43" s="117"/>
      <c r="N43" s="117"/>
      <c r="O43" s="117"/>
      <c r="P43" s="117"/>
      <c r="Q43" s="117"/>
      <c r="R43" s="117"/>
      <c r="S43" s="117"/>
      <c r="T43" s="117"/>
      <c r="U43" s="117"/>
      <c r="V43" s="117"/>
      <c r="W43" s="117"/>
      <c r="X43" s="117"/>
      <c r="Y43" s="117"/>
      <c r="Z43" s="117"/>
      <c r="AA43" s="117"/>
      <c r="AB43" s="117"/>
      <c r="AC43" s="117" t="s">
        <v>26</v>
      </c>
      <c r="AD43" s="117" t="s">
        <v>26</v>
      </c>
      <c r="AE43" s="117" t="s">
        <v>26</v>
      </c>
      <c r="AF43" s="117" t="s">
        <v>26</v>
      </c>
      <c r="AG43" s="117"/>
      <c r="AH43" s="117"/>
      <c r="AI43" s="117"/>
      <c r="AJ43" s="117" t="s">
        <v>26</v>
      </c>
      <c r="AK43" s="117"/>
      <c r="AL43" s="117"/>
      <c r="AM43" s="117"/>
      <c r="AN43" s="117"/>
      <c r="AO43" s="117"/>
      <c r="AP43" s="117"/>
    </row>
    <row r="44" spans="1:43" ht="6.75" customHeight="1">
      <c r="A44" s="1">
        <v>3</v>
      </c>
    </row>
    <row r="45" spans="1:43">
      <c r="A45" s="1">
        <v>4</v>
      </c>
      <c r="B45" s="2" t="s">
        <v>94</v>
      </c>
      <c r="C45" s="9">
        <f t="shared" ref="C45:C67" si="18">+HLOOKUP($C$42,$H$42:$AP$67,A45,FALSE)</f>
        <v>39.865567810000002</v>
      </c>
      <c r="D45" s="9">
        <f t="shared" ref="D45:D67" si="19">+HLOOKUP($D$42,$H$42:$AP$67,A45,FALSE)</f>
        <v>52.990921339999993</v>
      </c>
      <c r="E45" s="38">
        <f>D45/C45-1</f>
        <v>0.32924035078480895</v>
      </c>
      <c r="H45" s="2" t="s">
        <v>94</v>
      </c>
      <c r="I45" s="32"/>
      <c r="J45" s="32"/>
      <c r="K45" s="32"/>
      <c r="L45" s="32"/>
      <c r="M45" s="32"/>
      <c r="N45" s="32"/>
      <c r="O45" s="32"/>
      <c r="P45" s="32"/>
      <c r="Q45" s="9">
        <f t="shared" ref="Q45:X45" si="20">SUM(Q46:Q50)</f>
        <v>55.583655499999999</v>
      </c>
      <c r="R45" s="9">
        <f t="shared" si="20"/>
        <v>54.9629184</v>
      </c>
      <c r="S45" s="9">
        <f t="shared" si="20"/>
        <v>49.082694860000004</v>
      </c>
      <c r="T45" s="9">
        <f t="shared" si="20"/>
        <v>57.097280980000001</v>
      </c>
      <c r="U45" s="9">
        <f t="shared" si="20"/>
        <v>47.636293819999999</v>
      </c>
      <c r="V45" s="9">
        <f t="shared" si="20"/>
        <v>46.971507459999998</v>
      </c>
      <c r="W45" s="9">
        <f t="shared" si="20"/>
        <v>51.493997259999993</v>
      </c>
      <c r="X45" s="9">
        <f t="shared" si="20"/>
        <v>46.735641690000008</v>
      </c>
      <c r="Y45" s="9">
        <f t="shared" ref="Y45:AE45" si="21">SUM(Y46:Y50)</f>
        <v>52.673049919999997</v>
      </c>
      <c r="Z45" s="9">
        <f t="shared" si="21"/>
        <v>52.289317230000002</v>
      </c>
      <c r="AA45" s="9">
        <f t="shared" si="21"/>
        <v>40.085187489999996</v>
      </c>
      <c r="AB45" s="9">
        <f t="shared" si="21"/>
        <v>38.385628109999999</v>
      </c>
      <c r="AC45" s="9">
        <f t="shared" si="21"/>
        <v>41.960275469999999</v>
      </c>
      <c r="AD45" s="9">
        <f t="shared" si="21"/>
        <v>41.306034390000001</v>
      </c>
      <c r="AE45" s="9">
        <f t="shared" si="21"/>
        <v>44.203243349999994</v>
      </c>
      <c r="AF45" s="9">
        <f t="shared" ref="AF45:AM45" si="22">SUM(AF46:AF50)</f>
        <v>47.314848999999995</v>
      </c>
      <c r="AG45" s="9">
        <f t="shared" si="22"/>
        <v>37.681899710000003</v>
      </c>
      <c r="AH45" s="9">
        <f t="shared" si="22"/>
        <v>34.790087870000001</v>
      </c>
      <c r="AI45" s="9">
        <f t="shared" si="22"/>
        <v>42.889557519999997</v>
      </c>
      <c r="AJ45" s="9">
        <f t="shared" si="22"/>
        <v>44.078781450000001</v>
      </c>
      <c r="AK45" s="9">
        <f t="shared" si="22"/>
        <v>37.959551309999995</v>
      </c>
      <c r="AL45" s="9">
        <f t="shared" si="22"/>
        <v>39.865567810000002</v>
      </c>
      <c r="AM45" s="9">
        <f t="shared" si="22"/>
        <v>48.977401450000002</v>
      </c>
      <c r="AN45" s="9">
        <f>SUM(AN46:AN50)</f>
        <v>45.018566209999996</v>
      </c>
      <c r="AO45" s="9">
        <f>SUM(AO46:AO50)</f>
        <v>55.119108129999994</v>
      </c>
      <c r="AP45" s="9">
        <f>SUM(AP46:AP50)</f>
        <v>52.990921339999993</v>
      </c>
    </row>
    <row r="46" spans="1:43">
      <c r="A46" s="1">
        <v>5</v>
      </c>
      <c r="B46" s="5" t="s">
        <v>96</v>
      </c>
      <c r="C46" s="7">
        <f t="shared" si="18"/>
        <v>26.134258350000007</v>
      </c>
      <c r="D46" s="7">
        <f>+HLOOKUP($D$42,$H$42:$AP$67,A46,FALSE)</f>
        <v>35.654689489999996</v>
      </c>
      <c r="E46" s="36">
        <f>D46/C46-1</f>
        <v>0.36428931758838257</v>
      </c>
      <c r="H46" s="5" t="s">
        <v>96</v>
      </c>
      <c r="I46" s="7"/>
      <c r="J46" s="7"/>
      <c r="K46" s="7"/>
      <c r="L46" s="7"/>
      <c r="M46" s="7"/>
      <c r="N46" s="7"/>
      <c r="O46" s="7"/>
      <c r="P46" s="7"/>
      <c r="Q46" s="7">
        <v>32.460313200000002</v>
      </c>
      <c r="R46" s="7">
        <v>29.138366089999998</v>
      </c>
      <c r="S46" s="7">
        <v>28.332158719999999</v>
      </c>
      <c r="T46" s="7">
        <v>29.400125059999997</v>
      </c>
      <c r="U46" s="7">
        <v>30.41764161</v>
      </c>
      <c r="V46" s="7">
        <v>29.193580749999999</v>
      </c>
      <c r="W46" s="7">
        <v>31.344619299999998</v>
      </c>
      <c r="X46" s="7">
        <v>31.739627410000004</v>
      </c>
      <c r="Y46" s="7">
        <v>28.93242343</v>
      </c>
      <c r="Z46" s="7">
        <v>27.544648819999999</v>
      </c>
      <c r="AA46" s="7">
        <v>26.837658909999995</v>
      </c>
      <c r="AB46" s="7">
        <v>23.979617300000001</v>
      </c>
      <c r="AC46" s="7">
        <v>27.59225554</v>
      </c>
      <c r="AD46" s="7">
        <v>27.797825039999999</v>
      </c>
      <c r="AE46" s="7">
        <v>27.159665349999997</v>
      </c>
      <c r="AF46" s="7">
        <v>28.902238430000001</v>
      </c>
      <c r="AG46" s="7">
        <v>29.28596782</v>
      </c>
      <c r="AH46" s="7">
        <v>25.058760310000004</v>
      </c>
      <c r="AI46" s="7">
        <v>26.776863710000001</v>
      </c>
      <c r="AJ46" s="7">
        <v>27.41628996</v>
      </c>
      <c r="AK46" s="7">
        <v>27.355224159999995</v>
      </c>
      <c r="AL46" s="7">
        <v>26.134258350000007</v>
      </c>
      <c r="AM46" s="7">
        <v>24.594859840000002</v>
      </c>
      <c r="AN46" s="7">
        <v>27.170235019999996</v>
      </c>
      <c r="AO46" s="7">
        <v>36.349817639999998</v>
      </c>
      <c r="AP46" s="7">
        <v>35.654689489999996</v>
      </c>
      <c r="AQ46" s="33"/>
    </row>
    <row r="47" spans="1:43">
      <c r="A47" s="1">
        <v>6</v>
      </c>
      <c r="B47" s="5" t="s">
        <v>97</v>
      </c>
      <c r="C47" s="7">
        <f t="shared" si="18"/>
        <v>5.7830713399999993</v>
      </c>
      <c r="D47" s="7">
        <f>+HLOOKUP($D$42,$H$42:$AP$67,A47,FALSE)</f>
        <v>4.65102745</v>
      </c>
      <c r="E47" s="49">
        <f t="shared" ref="E47" si="23">D47/C47-1</f>
        <v>-0.195751327183178</v>
      </c>
      <c r="H47" s="5" t="s">
        <v>97</v>
      </c>
      <c r="I47" s="7"/>
      <c r="J47" s="7"/>
      <c r="K47" s="7"/>
      <c r="L47" s="7"/>
      <c r="M47" s="7"/>
      <c r="N47" s="7"/>
      <c r="O47" s="7"/>
      <c r="P47" s="7"/>
      <c r="Q47" s="7">
        <v>5.6</v>
      </c>
      <c r="R47" s="7">
        <v>6.6</v>
      </c>
      <c r="S47" s="7">
        <v>6.1689418100000006</v>
      </c>
      <c r="T47" s="7">
        <v>0.29570797999999998</v>
      </c>
      <c r="U47" s="7">
        <v>3.9916751399999995</v>
      </c>
      <c r="V47" s="7">
        <v>3.8195686800000002</v>
      </c>
      <c r="W47" s="7">
        <v>3.3034332700000002</v>
      </c>
      <c r="X47" s="7">
        <v>1.5023979999999982E-2</v>
      </c>
      <c r="Y47" s="7">
        <v>7.9133462900000007</v>
      </c>
      <c r="Z47" s="7">
        <v>9.3299704900000009</v>
      </c>
      <c r="AA47" s="7">
        <v>5.3961819800000006</v>
      </c>
      <c r="AB47" s="7">
        <v>6.9740460799999999</v>
      </c>
      <c r="AC47" s="7">
        <v>8.3434991900000011</v>
      </c>
      <c r="AD47" s="7">
        <v>7.6966708700000002</v>
      </c>
      <c r="AE47" s="7">
        <v>8.1598182400000017</v>
      </c>
      <c r="AF47" s="7">
        <v>8.1723705200000012</v>
      </c>
      <c r="AG47" s="7">
        <v>5.4581992300000008</v>
      </c>
      <c r="AH47" s="7">
        <v>4.3626116799999997</v>
      </c>
      <c r="AI47" s="7">
        <v>6.5637490400000003</v>
      </c>
      <c r="AJ47" s="7">
        <v>6.0036959899999989</v>
      </c>
      <c r="AK47" s="7">
        <v>6.59947835</v>
      </c>
      <c r="AL47" s="7">
        <v>5.7830713399999993</v>
      </c>
      <c r="AM47" s="7">
        <v>4.5775767700000021</v>
      </c>
      <c r="AN47" s="7">
        <v>5.6099754299999951</v>
      </c>
      <c r="AO47" s="7">
        <v>4.9982266399999995</v>
      </c>
      <c r="AP47" s="7">
        <v>4.65102745</v>
      </c>
    </row>
    <row r="48" spans="1:43">
      <c r="A48" s="1">
        <v>7</v>
      </c>
      <c r="B48" s="5" t="s">
        <v>98</v>
      </c>
      <c r="C48" s="7">
        <f t="shared" si="18"/>
        <v>6.7028850899999988</v>
      </c>
      <c r="D48" s="7">
        <f t="shared" si="19"/>
        <v>10.922443899999998</v>
      </c>
      <c r="E48" s="36">
        <f t="shared" ref="E48:E50" si="24">D48/C48-1</f>
        <v>0.62951382178625415</v>
      </c>
      <c r="H48" s="5" t="s">
        <v>108</v>
      </c>
      <c r="I48" s="7"/>
      <c r="J48" s="7"/>
      <c r="K48" s="7"/>
      <c r="L48" s="7"/>
      <c r="M48" s="7"/>
      <c r="N48" s="7"/>
      <c r="O48" s="7"/>
      <c r="P48" s="7"/>
      <c r="Q48" s="7">
        <v>8.5953532900000003</v>
      </c>
      <c r="R48" s="7">
        <v>6.4017951300000009</v>
      </c>
      <c r="S48" s="7">
        <v>5.7872665799999998</v>
      </c>
      <c r="T48" s="7">
        <v>16.955132990000003</v>
      </c>
      <c r="U48" s="7">
        <v>1.47052644</v>
      </c>
      <c r="V48" s="7">
        <v>3.6616426599999996</v>
      </c>
      <c r="W48" s="7">
        <v>5.7423679999999999</v>
      </c>
      <c r="X48" s="7">
        <v>2.3145004</v>
      </c>
      <c r="Y48" s="7">
        <v>1.47969777</v>
      </c>
      <c r="Z48" s="7">
        <v>3.3943515400000002</v>
      </c>
      <c r="AA48" s="7">
        <v>6.4587246999999994</v>
      </c>
      <c r="AB48" s="7">
        <v>6.2914542299999994</v>
      </c>
      <c r="AC48" s="7">
        <v>4.83443925</v>
      </c>
      <c r="AD48" s="7">
        <v>4.7913998300000005</v>
      </c>
      <c r="AE48" s="7">
        <v>7.3000909399999996</v>
      </c>
      <c r="AF48" s="7">
        <v>3.0115666299999999</v>
      </c>
      <c r="AG48" s="7">
        <v>1.6580831100000002</v>
      </c>
      <c r="AH48" s="7">
        <v>3.9147359100000001</v>
      </c>
      <c r="AI48" s="7">
        <v>8.1863365100000003</v>
      </c>
      <c r="AJ48" s="7">
        <v>9.1388253099999996</v>
      </c>
      <c r="AK48" s="7">
        <v>2.5091850400000002</v>
      </c>
      <c r="AL48" s="7">
        <v>6.7028850899999988</v>
      </c>
      <c r="AM48" s="7">
        <v>18.628417160000001</v>
      </c>
      <c r="AN48" s="7">
        <v>10.470758520000004</v>
      </c>
      <c r="AO48" s="7">
        <v>9.6457732699999994</v>
      </c>
      <c r="AP48" s="7">
        <v>10.922443899999998</v>
      </c>
    </row>
    <row r="49" spans="1:42">
      <c r="A49" s="1">
        <v>8</v>
      </c>
      <c r="B49" s="5" t="s">
        <v>69</v>
      </c>
      <c r="C49" s="7">
        <f t="shared" si="18"/>
        <v>0</v>
      </c>
      <c r="D49" s="7">
        <f t="shared" si="19"/>
        <v>0</v>
      </c>
      <c r="E49" s="49" t="s">
        <v>50</v>
      </c>
      <c r="H49" s="5" t="s">
        <v>69</v>
      </c>
      <c r="I49" s="7"/>
      <c r="J49" s="7"/>
      <c r="K49" s="7"/>
      <c r="L49" s="7"/>
      <c r="M49" s="7"/>
      <c r="N49" s="7"/>
      <c r="O49" s="7"/>
      <c r="P49" s="7"/>
      <c r="Q49" s="7">
        <v>8.9279890099999992</v>
      </c>
      <c r="R49" s="7">
        <v>12.502251830000001</v>
      </c>
      <c r="S49" s="7">
        <v>8.4584802499999991</v>
      </c>
      <c r="T49" s="7">
        <v>10.021971669999997</v>
      </c>
      <c r="U49" s="7">
        <v>10.59247901</v>
      </c>
      <c r="V49" s="7">
        <v>8.9588192499999995</v>
      </c>
      <c r="W49" s="7">
        <v>10.080884190000001</v>
      </c>
      <c r="X49" s="7">
        <v>11.61420582</v>
      </c>
      <c r="Y49" s="7">
        <v>12.948201429999999</v>
      </c>
      <c r="Z49" s="7">
        <v>10.965700719999999</v>
      </c>
      <c r="AA49" s="7">
        <v>0</v>
      </c>
      <c r="AB49" s="7"/>
      <c r="AC49" s="7"/>
      <c r="AD49" s="7"/>
      <c r="AE49" s="7"/>
      <c r="AF49" s="72">
        <v>0</v>
      </c>
      <c r="AG49" s="72">
        <v>0</v>
      </c>
      <c r="AH49" s="72"/>
      <c r="AI49" s="72"/>
      <c r="AJ49" s="72"/>
      <c r="AK49" s="72">
        <v>0</v>
      </c>
      <c r="AL49" s="72">
        <v>0</v>
      </c>
      <c r="AM49" s="72">
        <v>0</v>
      </c>
      <c r="AN49" s="72">
        <v>0</v>
      </c>
      <c r="AO49" s="72">
        <v>0</v>
      </c>
      <c r="AP49" s="72">
        <v>0</v>
      </c>
    </row>
    <row r="50" spans="1:42">
      <c r="A50" s="1">
        <v>9</v>
      </c>
      <c r="B50" s="5" t="s">
        <v>67</v>
      </c>
      <c r="C50" s="7">
        <f t="shared" si="18"/>
        <v>1.2453530300000002</v>
      </c>
      <c r="D50" s="7">
        <f t="shared" si="19"/>
        <v>1.7627605000000006</v>
      </c>
      <c r="E50" s="36">
        <f t="shared" si="24"/>
        <v>0.41547051923100109</v>
      </c>
      <c r="H50" s="5" t="s">
        <v>67</v>
      </c>
      <c r="I50" s="7"/>
      <c r="J50" s="7"/>
      <c r="K50" s="7"/>
      <c r="L50" s="7"/>
      <c r="M50" s="7"/>
      <c r="N50" s="7"/>
      <c r="O50" s="7"/>
      <c r="P50" s="7"/>
      <c r="Q50" s="7">
        <v>0</v>
      </c>
      <c r="R50" s="7">
        <v>0.32050534999999997</v>
      </c>
      <c r="S50" s="7">
        <v>0.33584750000000002</v>
      </c>
      <c r="T50" s="7">
        <v>0.42434328000000004</v>
      </c>
      <c r="U50" s="7">
        <v>1.1639716200000001</v>
      </c>
      <c r="V50" s="7">
        <v>1.3378961200000001</v>
      </c>
      <c r="W50" s="7">
        <v>1.0226925</v>
      </c>
      <c r="X50" s="7">
        <v>1.0522840800000002</v>
      </c>
      <c r="Y50" s="7">
        <v>1.399381</v>
      </c>
      <c r="Z50" s="7">
        <v>1.0546456599999998</v>
      </c>
      <c r="AA50" s="7">
        <v>1.3926219000000002</v>
      </c>
      <c r="AB50" s="7">
        <v>1.1405105</v>
      </c>
      <c r="AC50" s="7">
        <v>1.1900814900000001</v>
      </c>
      <c r="AD50" s="7">
        <v>1.02013865</v>
      </c>
      <c r="AE50" s="7">
        <v>1.58366882</v>
      </c>
      <c r="AF50" s="7">
        <v>7.2286734200000007</v>
      </c>
      <c r="AG50" s="7">
        <v>1.27964955</v>
      </c>
      <c r="AH50" s="7">
        <v>1.45397997</v>
      </c>
      <c r="AI50" s="7">
        <v>1.36260826</v>
      </c>
      <c r="AJ50" s="7">
        <v>1.51997019</v>
      </c>
      <c r="AK50" s="7">
        <v>1.49566376</v>
      </c>
      <c r="AL50" s="7">
        <v>1.2453530300000002</v>
      </c>
      <c r="AM50" s="7">
        <v>1.1765476799999999</v>
      </c>
      <c r="AN50" s="7">
        <v>1.76759724</v>
      </c>
      <c r="AO50" s="7">
        <v>4.1252905799999997</v>
      </c>
      <c r="AP50" s="7">
        <v>1.7627605000000006</v>
      </c>
    </row>
    <row r="51" spans="1:42" ht="4.5" customHeight="1">
      <c r="A51" s="1">
        <v>10</v>
      </c>
      <c r="C51" s="1">
        <f t="shared" si="18"/>
        <v>0</v>
      </c>
      <c r="D51" s="1">
        <f t="shared" si="19"/>
        <v>0</v>
      </c>
    </row>
    <row r="52" spans="1:42">
      <c r="A52" s="1">
        <v>11</v>
      </c>
      <c r="B52" s="2" t="s">
        <v>99</v>
      </c>
      <c r="C52" s="9">
        <f t="shared" si="18"/>
        <v>-22.079148879999995</v>
      </c>
      <c r="D52" s="9">
        <f t="shared" si="19"/>
        <v>-27.852227609999996</v>
      </c>
      <c r="E52" s="38">
        <f>D52/C52-1</f>
        <v>0.26147197799048505</v>
      </c>
      <c r="H52" s="2" t="s">
        <v>99</v>
      </c>
      <c r="I52" s="32"/>
      <c r="J52" s="32"/>
      <c r="K52" s="32"/>
      <c r="L52" s="32"/>
      <c r="M52" s="32"/>
      <c r="N52" s="32"/>
      <c r="O52" s="32"/>
      <c r="P52" s="32"/>
      <c r="Q52" s="9">
        <f t="shared" ref="Q52:X52" si="25">SUM(Q53:Q57)</f>
        <v>-32.306038980000004</v>
      </c>
      <c r="R52" s="9">
        <f t="shared" si="25"/>
        <v>-41.795531619999998</v>
      </c>
      <c r="S52" s="9">
        <f t="shared" si="25"/>
        <v>-30.759452379999999</v>
      </c>
      <c r="T52" s="9">
        <f t="shared" si="25"/>
        <v>-39.480105159999994</v>
      </c>
      <c r="U52" s="9">
        <f t="shared" si="25"/>
        <v>-34.353933659999996</v>
      </c>
      <c r="V52" s="9">
        <f t="shared" si="25"/>
        <v>-33.9733351</v>
      </c>
      <c r="W52" s="9">
        <f t="shared" si="25"/>
        <v>-35.661452799999999</v>
      </c>
      <c r="X52" s="9">
        <f t="shared" si="25"/>
        <v>-37.405603590000005</v>
      </c>
      <c r="Y52" s="9">
        <f t="shared" ref="Y52:AE52" si="26">SUM(Y53:Y57)</f>
        <v>-40.773118190000005</v>
      </c>
      <c r="Z52" s="9">
        <f t="shared" si="26"/>
        <v>-37.811925799999997</v>
      </c>
      <c r="AA52" s="9">
        <f t="shared" si="26"/>
        <v>-30.209554599999997</v>
      </c>
      <c r="AB52" s="9">
        <f>+SUM(AB53:AB57)</f>
        <v>-28.78228824</v>
      </c>
      <c r="AC52" s="9">
        <f t="shared" si="26"/>
        <v>-23.492882950000002</v>
      </c>
      <c r="AD52" s="9">
        <f t="shared" si="26"/>
        <v>-20.57628506</v>
      </c>
      <c r="AE52" s="9">
        <f t="shared" si="26"/>
        <v>-26.275369099999999</v>
      </c>
      <c r="AF52" s="9">
        <f t="shared" ref="AF52:AO52" si="27">SUM(AF53:AF57)</f>
        <v>-25.377440749999998</v>
      </c>
      <c r="AG52" s="9">
        <f t="shared" si="27"/>
        <v>-15.04848601</v>
      </c>
      <c r="AH52" s="9">
        <f t="shared" si="27"/>
        <v>-19.82229126</v>
      </c>
      <c r="AI52" s="9">
        <f t="shared" si="27"/>
        <v>-24.184998679999996</v>
      </c>
      <c r="AJ52" s="9">
        <f t="shared" si="27"/>
        <v>-25.542623639999995</v>
      </c>
      <c r="AK52" s="9">
        <f t="shared" si="27"/>
        <v>-17.433526780000001</v>
      </c>
      <c r="AL52" s="9">
        <f t="shared" si="27"/>
        <v>-22.079148879999995</v>
      </c>
      <c r="AM52" s="9">
        <f t="shared" si="27"/>
        <v>-25.808040840000004</v>
      </c>
      <c r="AN52" s="9">
        <f t="shared" si="27"/>
        <v>-23.148096080000023</v>
      </c>
      <c r="AO52" s="9">
        <f t="shared" si="27"/>
        <v>-25.704476410000002</v>
      </c>
      <c r="AP52" s="9">
        <f t="shared" ref="AP52" si="28">SUM(AP53:AP57)</f>
        <v>-27.852227609999996</v>
      </c>
    </row>
    <row r="53" spans="1:42">
      <c r="A53" s="1">
        <v>12</v>
      </c>
      <c r="B53" s="5" t="s">
        <v>69</v>
      </c>
      <c r="C53" s="44">
        <f t="shared" si="18"/>
        <v>-1.3291058100000002</v>
      </c>
      <c r="D53" s="44">
        <f t="shared" si="19"/>
        <v>-1.42084948</v>
      </c>
      <c r="E53" s="36">
        <f t="shared" ref="E53:E57" si="29">D53/C53-1</f>
        <v>6.9026611207124056E-2</v>
      </c>
      <c r="H53" s="5" t="s">
        <v>69</v>
      </c>
      <c r="I53" s="7"/>
      <c r="J53" s="7"/>
      <c r="K53" s="7"/>
      <c r="L53" s="7"/>
      <c r="M53" s="7"/>
      <c r="N53" s="7"/>
      <c r="O53" s="7"/>
      <c r="P53" s="7"/>
      <c r="Q53" s="44">
        <v>-8.6869376099999993</v>
      </c>
      <c r="R53" s="44">
        <v>-10.98468411</v>
      </c>
      <c r="S53" s="44">
        <v>-7.5221053799999993</v>
      </c>
      <c r="T53" s="44">
        <v>-8.4976941799999999</v>
      </c>
      <c r="U53" s="44">
        <v>-8.7930702800000002</v>
      </c>
      <c r="V53" s="44">
        <v>-8.4213767199999996</v>
      </c>
      <c r="W53" s="44">
        <v>-9.6291035800000007</v>
      </c>
      <c r="X53" s="44">
        <v>-10.23718113</v>
      </c>
      <c r="Y53" s="44">
        <v>-10.758186589999999</v>
      </c>
      <c r="Z53" s="44">
        <v>-10.957769000000001</v>
      </c>
      <c r="AA53" s="44">
        <v>-0.66157777000000095</v>
      </c>
      <c r="AB53" s="44"/>
      <c r="AC53" s="44">
        <v>-0.49616329999999997</v>
      </c>
      <c r="AD53" s="44">
        <v>-0.73033623999999997</v>
      </c>
      <c r="AE53" s="44">
        <v>-1.3071812600000001</v>
      </c>
      <c r="AF53" s="44">
        <v>-0.91939967999999994</v>
      </c>
      <c r="AG53" s="44">
        <v>-0.7</v>
      </c>
      <c r="AH53" s="44">
        <v>-2.2193861799999999</v>
      </c>
      <c r="AI53" s="44">
        <v>-1.2449280699999998</v>
      </c>
      <c r="AJ53" s="44">
        <v>-1.1551104400000001</v>
      </c>
      <c r="AK53" s="44">
        <v>-0.42041494000000001</v>
      </c>
      <c r="AL53" s="44">
        <v>-1.3291058100000002</v>
      </c>
      <c r="AM53" s="44">
        <v>-1.4726724600000001</v>
      </c>
      <c r="AN53" s="44">
        <v>-1.450856120000001</v>
      </c>
      <c r="AO53" s="44">
        <v>-1.7283915600000002</v>
      </c>
      <c r="AP53" s="44">
        <v>-1.42084948</v>
      </c>
    </row>
    <row r="54" spans="1:42">
      <c r="A54" s="1">
        <v>13</v>
      </c>
      <c r="B54" s="5" t="s">
        <v>70</v>
      </c>
      <c r="C54" s="44">
        <f t="shared" si="18"/>
        <v>-0.80649880999999979</v>
      </c>
      <c r="D54" s="44">
        <f t="shared" si="19"/>
        <v>-2.1264916600000001</v>
      </c>
      <c r="E54" s="49" t="s">
        <v>50</v>
      </c>
      <c r="H54" s="5" t="s">
        <v>70</v>
      </c>
      <c r="I54" s="7"/>
      <c r="J54" s="7"/>
      <c r="K54" s="7"/>
      <c r="L54" s="7"/>
      <c r="M54" s="7"/>
      <c r="N54" s="7"/>
      <c r="O54" s="7"/>
      <c r="P54" s="7"/>
      <c r="Q54" s="44">
        <v>-2.4822059000000003</v>
      </c>
      <c r="R54" s="44">
        <v>-8.7254282500000002</v>
      </c>
      <c r="S54" s="44">
        <v>-3.1551651900000004</v>
      </c>
      <c r="T54" s="44">
        <v>-1.36595606</v>
      </c>
      <c r="U54" s="44">
        <v>-2.8579380299999997</v>
      </c>
      <c r="V54" s="44">
        <v>-1.42054E-2</v>
      </c>
      <c r="W54" s="44">
        <v>-0.14726351999999998</v>
      </c>
      <c r="X54" s="44">
        <v>-1.8561880000000003E-2</v>
      </c>
      <c r="Y54" s="44">
        <v>-6.3891180600000004</v>
      </c>
      <c r="Z54" s="44">
        <v>-1.296899E-2</v>
      </c>
      <c r="AA54" s="44">
        <v>-0.13729293999999997</v>
      </c>
      <c r="AB54" s="44">
        <v>-3.7507E-3</v>
      </c>
      <c r="AC54" s="44">
        <v>-0.27191003000000002</v>
      </c>
      <c r="AD54" s="44">
        <v>-0.36717951000000004</v>
      </c>
      <c r="AE54" s="44">
        <v>0</v>
      </c>
      <c r="AF54" s="44">
        <v>-0.34991742999999997</v>
      </c>
      <c r="AG54" s="44">
        <v>-1.3</v>
      </c>
      <c r="AH54" s="44">
        <v>-0.48811054999999998</v>
      </c>
      <c r="AI54" s="44">
        <v>-5.9718210000000001E-2</v>
      </c>
      <c r="AJ54" s="44">
        <v>-1.2861E-4</v>
      </c>
      <c r="AK54" s="44">
        <v>-0.38486635999999996</v>
      </c>
      <c r="AL54" s="44">
        <v>-0.80649880999999979</v>
      </c>
      <c r="AM54" s="44">
        <v>-0.45685123999999999</v>
      </c>
      <c r="AN54" s="44">
        <v>-0.10758014000000027</v>
      </c>
      <c r="AO54" s="44">
        <v>-3.98073E-3</v>
      </c>
      <c r="AP54" s="44">
        <v>-2.1264916600000001</v>
      </c>
    </row>
    <row r="55" spans="1:42">
      <c r="A55" s="1">
        <v>14</v>
      </c>
      <c r="B55" s="5" t="s">
        <v>71</v>
      </c>
      <c r="C55" s="44">
        <f t="shared" si="18"/>
        <v>-17.254955880000001</v>
      </c>
      <c r="D55" s="44">
        <f t="shared" si="19"/>
        <v>-22.164677079999997</v>
      </c>
      <c r="E55" s="36">
        <f t="shared" si="29"/>
        <v>0.28453977130656072</v>
      </c>
      <c r="F55" s="54"/>
      <c r="H55" s="5" t="s">
        <v>71</v>
      </c>
      <c r="I55" s="7"/>
      <c r="J55" s="7"/>
      <c r="K55" s="7"/>
      <c r="L55" s="7"/>
      <c r="M55" s="7"/>
      <c r="N55" s="7"/>
      <c r="O55" s="7"/>
      <c r="P55" s="7"/>
      <c r="Q55" s="44">
        <v>-16.863124360000004</v>
      </c>
      <c r="R55" s="44">
        <v>-19.939320459999998</v>
      </c>
      <c r="S55" s="44">
        <v>-17.725214960000002</v>
      </c>
      <c r="T55" s="44">
        <v>-28.326226259999999</v>
      </c>
      <c r="U55" s="44">
        <v>-20.05521062</v>
      </c>
      <c r="V55" s="44">
        <v>-23.011494200000001</v>
      </c>
      <c r="W55" s="44">
        <v>-24.285353650000001</v>
      </c>
      <c r="X55" s="44">
        <v>-24.371911540000003</v>
      </c>
      <c r="Y55" s="44">
        <v>-18.965294759999999</v>
      </c>
      <c r="Z55" s="44">
        <v>-23.6114715</v>
      </c>
      <c r="AA55" s="44">
        <v>-24.548299199999999</v>
      </c>
      <c r="AB55" s="44">
        <v>-25.285733</v>
      </c>
      <c r="AC55" s="44">
        <v>-19.612186380000001</v>
      </c>
      <c r="AD55" s="44">
        <v>-16.17645731</v>
      </c>
      <c r="AE55" s="44">
        <v>-22.237171629999999</v>
      </c>
      <c r="AF55" s="44">
        <v>-20.756213280000001</v>
      </c>
      <c r="AG55" s="44">
        <v>-11.1</v>
      </c>
      <c r="AH55" s="44">
        <v>-14.580119980000001</v>
      </c>
      <c r="AI55" s="44">
        <v>-20.636345499999997</v>
      </c>
      <c r="AJ55" s="44">
        <v>-19.569473139999999</v>
      </c>
      <c r="AK55" s="44">
        <v>-15.12824548</v>
      </c>
      <c r="AL55" s="44">
        <v>-17.254955880000001</v>
      </c>
      <c r="AM55" s="44">
        <v>-21.71192946</v>
      </c>
      <c r="AN55" s="44">
        <v>-19.526062860000014</v>
      </c>
      <c r="AO55" s="44">
        <v>-21.88420558</v>
      </c>
      <c r="AP55" s="44">
        <v>-22.164677079999997</v>
      </c>
    </row>
    <row r="56" spans="1:42">
      <c r="A56" s="1">
        <v>15</v>
      </c>
      <c r="B56" s="5" t="s">
        <v>72</v>
      </c>
      <c r="C56" s="44">
        <f t="shared" si="18"/>
        <v>-0.27632070000000003</v>
      </c>
      <c r="D56" s="44">
        <f t="shared" si="19"/>
        <v>-3.5201690000000001E-2</v>
      </c>
      <c r="E56" s="49" t="s">
        <v>50</v>
      </c>
      <c r="H56" s="5" t="s">
        <v>72</v>
      </c>
      <c r="I56" s="7"/>
      <c r="J56" s="7"/>
      <c r="K56" s="7"/>
      <c r="L56" s="7"/>
      <c r="M56" s="7"/>
      <c r="N56" s="7"/>
      <c r="O56" s="7"/>
      <c r="P56" s="7"/>
      <c r="Q56" s="44"/>
      <c r="R56" s="44"/>
      <c r="S56" s="44"/>
      <c r="T56" s="44"/>
      <c r="U56" s="44"/>
      <c r="V56" s="44"/>
      <c r="W56" s="44"/>
      <c r="X56" s="44"/>
      <c r="Y56" s="44"/>
      <c r="Z56" s="44"/>
      <c r="AA56" s="44">
        <v>-1.3596464999999998</v>
      </c>
      <c r="AB56" s="44">
        <v>0</v>
      </c>
      <c r="AC56" s="44">
        <v>0</v>
      </c>
      <c r="AD56" s="44">
        <v>0</v>
      </c>
      <c r="AE56" s="44">
        <v>0</v>
      </c>
      <c r="AF56" s="44">
        <v>0</v>
      </c>
      <c r="AG56" s="44">
        <v>0</v>
      </c>
      <c r="AH56" s="44">
        <v>0</v>
      </c>
      <c r="AI56" s="44">
        <v>0</v>
      </c>
      <c r="AJ56" s="44">
        <v>-0.91938023999999996</v>
      </c>
      <c r="AK56" s="44">
        <v>0</v>
      </c>
      <c r="AL56" s="44">
        <v>-0.27632070000000003</v>
      </c>
      <c r="AM56" s="83">
        <v>0</v>
      </c>
      <c r="AN56" s="83">
        <v>0</v>
      </c>
      <c r="AO56" s="83">
        <v>0</v>
      </c>
      <c r="AP56" s="83">
        <v>-3.5201690000000001E-2</v>
      </c>
    </row>
    <row r="57" spans="1:42">
      <c r="A57" s="1">
        <v>16</v>
      </c>
      <c r="B57" s="5" t="s">
        <v>100</v>
      </c>
      <c r="C57" s="44">
        <f t="shared" si="18"/>
        <v>-2.4122676799999958</v>
      </c>
      <c r="D57" s="44">
        <f t="shared" si="19"/>
        <v>-2.1050076999999972</v>
      </c>
      <c r="E57" s="49">
        <f t="shared" si="29"/>
        <v>-0.12737391565101897</v>
      </c>
      <c r="H57" s="5" t="s">
        <v>100</v>
      </c>
      <c r="I57" s="7"/>
      <c r="J57" s="7"/>
      <c r="K57" s="7"/>
      <c r="L57" s="7"/>
      <c r="M57" s="7"/>
      <c r="N57" s="7"/>
      <c r="O57" s="7"/>
      <c r="P57" s="7"/>
      <c r="Q57" s="44">
        <v>-4.2737711100000002</v>
      </c>
      <c r="R57" s="44">
        <v>-2.1460987999999999</v>
      </c>
      <c r="S57" s="44">
        <v>-2.3569668500000001</v>
      </c>
      <c r="T57" s="44">
        <v>-1.2902286600000001</v>
      </c>
      <c r="U57" s="44">
        <v>-2.6477147300000001</v>
      </c>
      <c r="V57" s="44">
        <v>-2.5262587800000005</v>
      </c>
      <c r="W57" s="44">
        <v>-1.5997320500000001</v>
      </c>
      <c r="X57" s="44">
        <v>-2.7779490399999998</v>
      </c>
      <c r="Y57" s="44">
        <v>-4.6605187800000003</v>
      </c>
      <c r="Z57" s="44">
        <v>-3.2297163100000006</v>
      </c>
      <c r="AA57" s="44">
        <v>-3.5027381900000001</v>
      </c>
      <c r="AB57" s="44">
        <v>-3.4928045399999998</v>
      </c>
      <c r="AC57" s="44">
        <v>-3.11262324</v>
      </c>
      <c r="AD57" s="44">
        <v>-3.3023120000000001</v>
      </c>
      <c r="AE57" s="44">
        <v>-2.7310162099999999</v>
      </c>
      <c r="AF57" s="44">
        <v>-3.3519103599999998</v>
      </c>
      <c r="AG57" s="44">
        <v>-1.9484860099999997</v>
      </c>
      <c r="AH57" s="44">
        <v>-2.5346745500000001</v>
      </c>
      <c r="AI57" s="44">
        <v>-2.2440068999999996</v>
      </c>
      <c r="AJ57" s="44">
        <v>-3.8985312099999998</v>
      </c>
      <c r="AK57" s="44">
        <v>-1.5</v>
      </c>
      <c r="AL57" s="44">
        <v>-2.4122676799999958</v>
      </c>
      <c r="AM57" s="44">
        <v>-2.1665876800000046</v>
      </c>
      <c r="AN57" s="44">
        <v>-2.0635969600000101</v>
      </c>
      <c r="AO57" s="44">
        <v>-2.0878985400000003</v>
      </c>
      <c r="AP57" s="44">
        <v>-2.1050076999999972</v>
      </c>
    </row>
    <row r="58" spans="1:42" ht="4.5" customHeight="1">
      <c r="A58" s="1">
        <v>17</v>
      </c>
      <c r="C58" s="33">
        <f t="shared" si="18"/>
        <v>0</v>
      </c>
      <c r="D58" s="33">
        <f t="shared" si="19"/>
        <v>0</v>
      </c>
      <c r="E58" s="33"/>
      <c r="I58" s="33"/>
      <c r="J58" s="33"/>
      <c r="K58" s="33"/>
      <c r="L58" s="33"/>
      <c r="M58" s="33"/>
      <c r="N58" s="33"/>
      <c r="O58" s="33"/>
      <c r="P58" s="33"/>
      <c r="Q58" s="33"/>
      <c r="R58" s="33"/>
      <c r="S58" s="33"/>
      <c r="T58" s="33"/>
      <c r="U58" s="33"/>
      <c r="V58" s="33"/>
      <c r="W58" s="33"/>
      <c r="X58" s="33"/>
      <c r="Y58" s="33"/>
      <c r="Z58" s="33"/>
      <c r="AA58" s="33"/>
      <c r="AB58" s="33"/>
      <c r="AC58" s="33"/>
      <c r="AD58" s="33"/>
      <c r="AE58" s="33"/>
      <c r="AF58" s="33"/>
      <c r="AG58" s="33"/>
      <c r="AH58" s="33"/>
      <c r="AI58" s="33"/>
      <c r="AJ58" s="33"/>
      <c r="AK58" s="33"/>
      <c r="AL58" s="33"/>
      <c r="AM58" s="33"/>
      <c r="AN58" s="33"/>
      <c r="AO58" s="33"/>
      <c r="AP58" s="33"/>
    </row>
    <row r="59" spans="1:42">
      <c r="A59" s="1">
        <v>18</v>
      </c>
      <c r="B59" s="2" t="s">
        <v>101</v>
      </c>
      <c r="C59" s="9">
        <f t="shared" si="18"/>
        <v>17.786418930000007</v>
      </c>
      <c r="D59" s="9">
        <f t="shared" si="19"/>
        <v>25.138693729999996</v>
      </c>
      <c r="E59" s="38">
        <f>D59/C59-1</f>
        <v>0.41336453554453567</v>
      </c>
      <c r="H59" s="2" t="s">
        <v>101</v>
      </c>
      <c r="I59" s="32"/>
      <c r="J59" s="32"/>
      <c r="K59" s="32"/>
      <c r="L59" s="32"/>
      <c r="M59" s="32"/>
      <c r="N59" s="32"/>
      <c r="O59" s="32"/>
      <c r="P59" s="32"/>
      <c r="Q59" s="9">
        <f t="shared" ref="Q59:X59" si="30">Q52+Q45</f>
        <v>23.277616519999995</v>
      </c>
      <c r="R59" s="9">
        <f t="shared" si="30"/>
        <v>13.167386780000001</v>
      </c>
      <c r="S59" s="9">
        <f t="shared" si="30"/>
        <v>18.323242480000005</v>
      </c>
      <c r="T59" s="9">
        <f t="shared" si="30"/>
        <v>17.617175820000007</v>
      </c>
      <c r="U59" s="9">
        <f t="shared" si="30"/>
        <v>13.282360160000003</v>
      </c>
      <c r="V59" s="9">
        <f t="shared" si="30"/>
        <v>12.998172359999998</v>
      </c>
      <c r="W59" s="9">
        <f t="shared" si="30"/>
        <v>15.832544459999994</v>
      </c>
      <c r="X59" s="9">
        <f t="shared" si="30"/>
        <v>9.330038100000003</v>
      </c>
      <c r="Y59" s="9">
        <f t="shared" ref="Y59:AE59" si="31">Y52+Y45</f>
        <v>11.899931729999992</v>
      </c>
      <c r="Z59" s="9">
        <f t="shared" si="31"/>
        <v>14.477391430000004</v>
      </c>
      <c r="AA59" s="9">
        <f t="shared" si="31"/>
        <v>9.8756328899999986</v>
      </c>
      <c r="AB59" s="9">
        <f t="shared" si="31"/>
        <v>9.6033398699999992</v>
      </c>
      <c r="AC59" s="9">
        <f t="shared" si="31"/>
        <v>18.467392519999997</v>
      </c>
      <c r="AD59" s="9">
        <f t="shared" si="31"/>
        <v>20.729749330000001</v>
      </c>
      <c r="AE59" s="9">
        <f t="shared" si="31"/>
        <v>17.927874249999995</v>
      </c>
      <c r="AF59" s="9">
        <f t="shared" ref="AF59:AO59" si="32">AF52+AF45</f>
        <v>21.937408249999997</v>
      </c>
      <c r="AG59" s="9">
        <f t="shared" si="32"/>
        <v>22.633413700000006</v>
      </c>
      <c r="AH59" s="9">
        <f t="shared" si="32"/>
        <v>14.967796610000001</v>
      </c>
      <c r="AI59" s="9">
        <f t="shared" si="32"/>
        <v>18.704558840000001</v>
      </c>
      <c r="AJ59" s="9">
        <f t="shared" si="32"/>
        <v>18.536157810000006</v>
      </c>
      <c r="AK59" s="9">
        <f t="shared" si="32"/>
        <v>20.526024529999994</v>
      </c>
      <c r="AL59" s="9">
        <f t="shared" si="32"/>
        <v>17.786418930000007</v>
      </c>
      <c r="AM59" s="9">
        <f t="shared" si="32"/>
        <v>23.169360609999998</v>
      </c>
      <c r="AN59" s="9">
        <f t="shared" si="32"/>
        <v>21.870470129999973</v>
      </c>
      <c r="AO59" s="9">
        <f t="shared" si="32"/>
        <v>29.414631719999992</v>
      </c>
      <c r="AP59" s="9">
        <f t="shared" ref="AP59" si="33">AP52+AP45</f>
        <v>25.138693729999996</v>
      </c>
    </row>
    <row r="60" spans="1:42" ht="4.5" customHeight="1">
      <c r="A60" s="1">
        <v>19</v>
      </c>
      <c r="C60" s="33">
        <f t="shared" si="18"/>
        <v>0</v>
      </c>
      <c r="D60" s="33">
        <f t="shared" si="19"/>
        <v>0</v>
      </c>
      <c r="E60" s="33"/>
      <c r="I60" s="33"/>
      <c r="J60" s="33"/>
      <c r="K60" s="33"/>
      <c r="L60" s="33"/>
      <c r="M60" s="33"/>
      <c r="N60" s="33"/>
      <c r="O60" s="33"/>
      <c r="P60" s="33"/>
      <c r="Q60" s="33"/>
      <c r="R60" s="33"/>
      <c r="S60" s="33"/>
      <c r="T60" s="33"/>
      <c r="U60" s="33"/>
      <c r="V60" s="33"/>
      <c r="W60" s="33"/>
      <c r="X60" s="33"/>
      <c r="Y60" s="33"/>
      <c r="Z60" s="33"/>
      <c r="AA60" s="33"/>
      <c r="AB60" s="33"/>
      <c r="AC60" s="33"/>
      <c r="AD60" s="33"/>
      <c r="AE60" s="33"/>
      <c r="AF60" s="33"/>
      <c r="AG60" s="33"/>
      <c r="AH60" s="33"/>
      <c r="AI60" s="33"/>
      <c r="AJ60" s="33"/>
      <c r="AK60" s="33"/>
      <c r="AL60" s="33"/>
      <c r="AM60" s="33"/>
      <c r="AN60" s="33"/>
      <c r="AO60" s="33"/>
      <c r="AP60" s="33"/>
    </row>
    <row r="61" spans="1:42">
      <c r="A61" s="1">
        <v>20</v>
      </c>
      <c r="B61" s="5" t="s">
        <v>76</v>
      </c>
      <c r="C61" s="44">
        <f t="shared" si="18"/>
        <v>-1.4989665900000009</v>
      </c>
      <c r="D61" s="44">
        <f t="shared" si="19"/>
        <v>-1.6545121499999995</v>
      </c>
      <c r="E61" s="36">
        <f>D61/C61-1</f>
        <v>0.10376853029125788</v>
      </c>
      <c r="F61" s="54"/>
      <c r="G61" s="54"/>
      <c r="H61" s="5" t="s">
        <v>76</v>
      </c>
      <c r="I61" s="7"/>
      <c r="J61" s="7"/>
      <c r="K61" s="7"/>
      <c r="L61" s="7"/>
      <c r="M61" s="7"/>
      <c r="N61" s="7"/>
      <c r="O61" s="7"/>
      <c r="P61" s="7"/>
      <c r="Q61" s="44">
        <v>-1.9020556099999997</v>
      </c>
      <c r="R61" s="44">
        <v>-0.95662959000000014</v>
      </c>
      <c r="S61" s="44">
        <v>-1.38904001</v>
      </c>
      <c r="T61" s="44">
        <v>-1.64653396</v>
      </c>
      <c r="U61" s="44">
        <v>-1.35093598</v>
      </c>
      <c r="V61" s="44">
        <v>-1.4034176600000001</v>
      </c>
      <c r="W61" s="44">
        <v>-1.39107256</v>
      </c>
      <c r="X61" s="44">
        <v>-1.7022323799999999</v>
      </c>
      <c r="Y61" s="44">
        <v>-1.4411471600000001</v>
      </c>
      <c r="Z61" s="44">
        <v>-1.51758236</v>
      </c>
      <c r="AA61" s="44">
        <v>-1.6644289400000001</v>
      </c>
      <c r="AB61" s="44">
        <v>-1.50439375</v>
      </c>
      <c r="AC61" s="44">
        <v>-1.4640062700000001</v>
      </c>
      <c r="AD61" s="44">
        <v>-1.6127271700000001</v>
      </c>
      <c r="AE61" s="44">
        <v>-1.1963248800000001</v>
      </c>
      <c r="AF61" s="44">
        <v>-1.91541703</v>
      </c>
      <c r="AG61" s="44">
        <v>-1.6</v>
      </c>
      <c r="AH61" s="44">
        <v>-1.5261225700000001</v>
      </c>
      <c r="AI61" s="44">
        <v>-1.5336618200000003</v>
      </c>
      <c r="AJ61" s="44">
        <v>-1.5264548799999997</v>
      </c>
      <c r="AK61" s="44">
        <v>-1.84047212</v>
      </c>
      <c r="AL61" s="44">
        <v>-1.4989665900000009</v>
      </c>
      <c r="AM61" s="44">
        <v>-1.5633669299999993</v>
      </c>
      <c r="AN61" s="44">
        <v>-1.4798497800000001</v>
      </c>
      <c r="AO61" s="44">
        <v>-2.6075955300000002</v>
      </c>
      <c r="AP61" s="44">
        <v>-1.6545121499999995</v>
      </c>
    </row>
    <row r="62" spans="1:42">
      <c r="A62" s="1">
        <v>21</v>
      </c>
      <c r="B62" s="5" t="s">
        <v>102</v>
      </c>
      <c r="C62" s="44">
        <f t="shared" si="18"/>
        <v>-1.8322824900000034</v>
      </c>
      <c r="D62" s="44">
        <f t="shared" si="19"/>
        <v>-1.7346318800000025</v>
      </c>
      <c r="E62" s="49">
        <f>D62/C62-1</f>
        <v>-5.3294516829662464E-2</v>
      </c>
      <c r="H62" s="5" t="s">
        <v>102</v>
      </c>
      <c r="I62" s="7"/>
      <c r="J62" s="7"/>
      <c r="K62" s="7"/>
      <c r="L62" s="7"/>
      <c r="M62" s="7"/>
      <c r="N62" s="7"/>
      <c r="O62" s="7"/>
      <c r="P62" s="7"/>
      <c r="Q62" s="44">
        <v>-4.6529306799999999</v>
      </c>
      <c r="R62" s="44">
        <v>-3.0893527200000004</v>
      </c>
      <c r="S62" s="44">
        <v>-0.84189764999999994</v>
      </c>
      <c r="T62" s="44">
        <v>-1.86806512</v>
      </c>
      <c r="U62" s="44">
        <v>-0.51768802999999997</v>
      </c>
      <c r="V62" s="44">
        <v>-0.68306328000000005</v>
      </c>
      <c r="W62" s="44">
        <v>-0.97182712999999998</v>
      </c>
      <c r="X62" s="44">
        <v>10.162852590000002</v>
      </c>
      <c r="Y62" s="44">
        <v>-0.53674665999999993</v>
      </c>
      <c r="Z62" s="44">
        <v>-0.63847730999999985</v>
      </c>
      <c r="AA62" s="44">
        <v>-0.85316294999999986</v>
      </c>
      <c r="AB62" s="44">
        <v>-1.3746567500000002</v>
      </c>
      <c r="AC62" s="44">
        <v>-0.52620058000000003</v>
      </c>
      <c r="AD62" s="44">
        <v>-0.64479643999999992</v>
      </c>
      <c r="AE62" s="44">
        <v>-0.74230715999999985</v>
      </c>
      <c r="AF62" s="44">
        <v>-1.0305582499999997</v>
      </c>
      <c r="AG62" s="44">
        <v>-1.45151399</v>
      </c>
      <c r="AH62" s="44">
        <v>8.5035019999999961E-2</v>
      </c>
      <c r="AI62" s="44">
        <v>-1.51453455</v>
      </c>
      <c r="AJ62" s="44">
        <v>-0.73680754000000004</v>
      </c>
      <c r="AK62" s="44">
        <v>-1.7515005400000001</v>
      </c>
      <c r="AL62" s="44">
        <v>-1.8322824900000034</v>
      </c>
      <c r="AM62" s="44">
        <v>-1.743260389999995</v>
      </c>
      <c r="AN62" s="44">
        <v>-2.1114044399999914</v>
      </c>
      <c r="AO62" s="44">
        <v>-1.90847655</v>
      </c>
      <c r="AP62" s="44">
        <v>-1.7346318800000025</v>
      </c>
    </row>
    <row r="63" spans="1:42">
      <c r="A63" s="1">
        <v>22</v>
      </c>
      <c r="B63" s="5" t="s">
        <v>78</v>
      </c>
      <c r="C63" s="44">
        <f t="shared" si="18"/>
        <v>-8.7846704900000017</v>
      </c>
      <c r="D63" s="44">
        <f t="shared" si="19"/>
        <v>-8.8828295999999956</v>
      </c>
      <c r="E63" s="36">
        <f t="shared" ref="E63" si="34">D63/C63-1</f>
        <v>1.1173909153648243E-2</v>
      </c>
      <c r="H63" s="5" t="s">
        <v>78</v>
      </c>
      <c r="I63" s="7"/>
      <c r="J63" s="7"/>
      <c r="K63" s="7"/>
      <c r="L63" s="7"/>
      <c r="M63" s="7"/>
      <c r="N63" s="7"/>
      <c r="O63" s="7"/>
      <c r="P63" s="7"/>
      <c r="Q63" s="44">
        <v>-7.9848667500000001</v>
      </c>
      <c r="R63" s="44">
        <v>-7.9488865200000003</v>
      </c>
      <c r="S63" s="44">
        <v>-7.9521240000000013</v>
      </c>
      <c r="T63" s="44">
        <v>-8.0023987100000014</v>
      </c>
      <c r="U63" s="44">
        <v>-8.0354829599999995</v>
      </c>
      <c r="V63" s="44">
        <v>-8.0330798399999992</v>
      </c>
      <c r="W63" s="44">
        <v>-7.8220839199999972</v>
      </c>
      <c r="X63" s="44">
        <v>-8.3412998900000002</v>
      </c>
      <c r="Y63" s="44">
        <v>-8.1506856200000009</v>
      </c>
      <c r="Z63" s="44">
        <v>-8.2453212299999983</v>
      </c>
      <c r="AA63" s="44">
        <v>-8.2788340199999997</v>
      </c>
      <c r="AB63" s="44">
        <v>-8.5874377700000011</v>
      </c>
      <c r="AC63" s="44">
        <v>-10.861591690000001</v>
      </c>
      <c r="AD63" s="44">
        <v>-11.416930089999997</v>
      </c>
      <c r="AE63" s="44">
        <v>-11.762001100000001</v>
      </c>
      <c r="AF63" s="44">
        <v>-11.893788960000002</v>
      </c>
      <c r="AG63" s="44">
        <v>-11.2</v>
      </c>
      <c r="AH63" s="44">
        <v>-11.47850051</v>
      </c>
      <c r="AI63" s="44">
        <v>-12.182965490000001</v>
      </c>
      <c r="AJ63" s="44">
        <v>-11.69162096</v>
      </c>
      <c r="AK63" s="44">
        <v>-8.9479389499999993</v>
      </c>
      <c r="AL63" s="44">
        <v>-8.7846704900000017</v>
      </c>
      <c r="AM63" s="44">
        <v>-8.78027041</v>
      </c>
      <c r="AN63" s="44">
        <v>-8.9347689600000049</v>
      </c>
      <c r="AO63" s="44">
        <v>-8.8220456100000018</v>
      </c>
      <c r="AP63" s="44">
        <v>-8.8828295999999956</v>
      </c>
    </row>
    <row r="64" spans="1:42" ht="4.5" customHeight="1">
      <c r="A64" s="1">
        <v>23</v>
      </c>
      <c r="C64" s="33">
        <f t="shared" si="18"/>
        <v>0</v>
      </c>
      <c r="D64" s="33">
        <f t="shared" si="19"/>
        <v>0</v>
      </c>
      <c r="E64" s="33"/>
      <c r="I64" s="33"/>
      <c r="J64" s="33"/>
      <c r="K64" s="33"/>
      <c r="L64" s="33"/>
      <c r="M64" s="33"/>
      <c r="N64" s="33"/>
      <c r="O64" s="33"/>
      <c r="P64" s="33"/>
      <c r="Q64" s="33"/>
      <c r="R64" s="33"/>
      <c r="S64" s="33"/>
      <c r="T64" s="33"/>
      <c r="U64" s="33"/>
      <c r="V64" s="33"/>
      <c r="W64" s="33"/>
      <c r="X64" s="33"/>
      <c r="Y64" s="33"/>
      <c r="Z64" s="33"/>
      <c r="AA64" s="33"/>
      <c r="AB64" s="33"/>
      <c r="AC64" s="33"/>
      <c r="AD64" s="33"/>
      <c r="AE64" s="33"/>
      <c r="AF64" s="33"/>
      <c r="AG64" s="33"/>
      <c r="AH64" s="33"/>
      <c r="AI64" s="33"/>
      <c r="AJ64" s="33"/>
      <c r="AK64" s="33"/>
      <c r="AL64" s="33"/>
      <c r="AM64" s="33"/>
      <c r="AN64" s="33"/>
      <c r="AO64" s="33"/>
      <c r="AP64" s="33"/>
    </row>
    <row r="65" spans="1:42">
      <c r="A65" s="1">
        <v>24</v>
      </c>
      <c r="B65" s="2" t="s">
        <v>103</v>
      </c>
      <c r="C65" s="9">
        <f t="shared" si="18"/>
        <v>5.6704993599999991</v>
      </c>
      <c r="D65" s="9">
        <f t="shared" si="19"/>
        <v>12.8667201</v>
      </c>
      <c r="E65" s="38">
        <f>D65/C65-1</f>
        <v>1.2690629666167537</v>
      </c>
      <c r="H65" s="2" t="s">
        <v>103</v>
      </c>
      <c r="I65" s="32"/>
      <c r="J65" s="32"/>
      <c r="K65" s="32"/>
      <c r="L65" s="32"/>
      <c r="M65" s="32"/>
      <c r="N65" s="32"/>
      <c r="O65" s="32"/>
      <c r="P65" s="32"/>
      <c r="Q65" s="9">
        <f t="shared" ref="Q65:W65" si="35">Q59+Q61+Q62+Q63</f>
        <v>8.7377634799999964</v>
      </c>
      <c r="R65" s="9">
        <f t="shared" si="35"/>
        <v>1.1725179499999996</v>
      </c>
      <c r="S65" s="9">
        <f t="shared" si="35"/>
        <v>8.1401808200000048</v>
      </c>
      <c r="T65" s="9">
        <f t="shared" si="35"/>
        <v>6.1001780300000057</v>
      </c>
      <c r="U65" s="9">
        <f t="shared" si="35"/>
        <v>3.3782531900000041</v>
      </c>
      <c r="V65" s="9">
        <f t="shared" si="35"/>
        <v>2.8786115799999976</v>
      </c>
      <c r="W65" s="9">
        <f t="shared" si="35"/>
        <v>5.6475608499999979</v>
      </c>
      <c r="X65" s="9">
        <f t="shared" ref="X65:Y65" si="36">X59+X61+X62+X63</f>
        <v>9.4493584200000047</v>
      </c>
      <c r="Y65" s="9">
        <f t="shared" si="36"/>
        <v>1.7713522899999905</v>
      </c>
      <c r="Z65" s="9">
        <f t="shared" ref="Z65" si="37">Z59+Z61+Z62+Z63</f>
        <v>4.0760105300000049</v>
      </c>
      <c r="AA65" s="9">
        <f t="shared" ref="AA65:AO65" si="38">AA59+AA61+AA62+AA63</f>
        <v>-0.92079302000000141</v>
      </c>
      <c r="AB65" s="9">
        <f t="shared" si="38"/>
        <v>-1.8631484000000018</v>
      </c>
      <c r="AC65" s="9">
        <f t="shared" si="38"/>
        <v>5.6155939799999963</v>
      </c>
      <c r="AD65" s="9">
        <f t="shared" si="38"/>
        <v>7.0552956300000034</v>
      </c>
      <c r="AE65" s="9">
        <f t="shared" si="38"/>
        <v>4.227241109999996</v>
      </c>
      <c r="AF65" s="9">
        <f t="shared" si="38"/>
        <v>7.0976440099999962</v>
      </c>
      <c r="AG65" s="9">
        <f t="shared" si="38"/>
        <v>8.3818997100000061</v>
      </c>
      <c r="AH65" s="9">
        <f t="shared" si="38"/>
        <v>2.04820855</v>
      </c>
      <c r="AI65" s="9">
        <f>AI59+AI61+AI62+AI63</f>
        <v>3.4733969800000004</v>
      </c>
      <c r="AJ65" s="9">
        <f t="shared" si="38"/>
        <v>4.5812744300000059</v>
      </c>
      <c r="AK65" s="9">
        <f t="shared" si="38"/>
        <v>7.9861129199999947</v>
      </c>
      <c r="AL65" s="9">
        <f t="shared" si="38"/>
        <v>5.6704993599999991</v>
      </c>
      <c r="AM65" s="9">
        <f t="shared" si="38"/>
        <v>11.082462880000001</v>
      </c>
      <c r="AN65" s="9">
        <f t="shared" si="38"/>
        <v>9.3444469499999787</v>
      </c>
      <c r="AO65" s="9">
        <f t="shared" si="38"/>
        <v>16.076514029999991</v>
      </c>
      <c r="AP65" s="9">
        <f t="shared" ref="AP65" si="39">AP59+AP61+AP62+AP63</f>
        <v>12.8667201</v>
      </c>
    </row>
    <row r="66" spans="1:42" ht="4.5" customHeight="1">
      <c r="A66" s="1">
        <v>25</v>
      </c>
      <c r="B66" s="41"/>
      <c r="C66" s="42">
        <f t="shared" si="18"/>
        <v>0</v>
      </c>
      <c r="D66" s="42">
        <f t="shared" si="19"/>
        <v>0</v>
      </c>
      <c r="E66" s="42"/>
      <c r="H66" s="41"/>
      <c r="I66" s="45"/>
      <c r="J66" s="45"/>
      <c r="K66" s="45"/>
      <c r="L66" s="45"/>
      <c r="M66" s="45"/>
      <c r="N66" s="45"/>
      <c r="O66" s="45"/>
      <c r="P66" s="45"/>
      <c r="Q66" s="42"/>
      <c r="R66" s="42"/>
      <c r="S66" s="42"/>
      <c r="T66" s="42"/>
      <c r="U66" s="42"/>
      <c r="V66" s="42"/>
      <c r="W66" s="42"/>
      <c r="X66" s="42"/>
      <c r="Y66" s="42"/>
      <c r="Z66" s="42"/>
      <c r="AA66" s="42"/>
      <c r="AB66" s="42"/>
      <c r="AC66" s="42"/>
      <c r="AD66" s="42"/>
      <c r="AE66" s="42"/>
      <c r="AF66" s="42"/>
      <c r="AG66" s="42"/>
      <c r="AH66" s="42"/>
      <c r="AI66" s="42"/>
      <c r="AJ66" s="42"/>
      <c r="AK66" s="42"/>
      <c r="AL66" s="42"/>
      <c r="AM66" s="42"/>
      <c r="AN66" s="42"/>
      <c r="AO66" s="42"/>
      <c r="AP66" s="42"/>
    </row>
    <row r="67" spans="1:42">
      <c r="A67" s="1">
        <v>26</v>
      </c>
      <c r="B67" s="2" t="s">
        <v>80</v>
      </c>
      <c r="C67" s="9">
        <f t="shared" si="18"/>
        <v>14.455169850000001</v>
      </c>
      <c r="D67" s="9">
        <f t="shared" si="19"/>
        <v>21.749549699999996</v>
      </c>
      <c r="E67" s="38">
        <f>D67/C67-1</f>
        <v>0.50462083294026416</v>
      </c>
      <c r="H67" s="2" t="s">
        <v>80</v>
      </c>
      <c r="I67" s="32"/>
      <c r="J67" s="32"/>
      <c r="K67" s="32"/>
      <c r="L67" s="32"/>
      <c r="M67" s="32"/>
      <c r="N67" s="32"/>
      <c r="O67" s="32"/>
      <c r="P67" s="32"/>
      <c r="Q67" s="9">
        <f t="shared" ref="Q67:W67" si="40">Q65-Q63</f>
        <v>16.722630229999996</v>
      </c>
      <c r="R67" s="9">
        <f t="shared" si="40"/>
        <v>9.1214044699999999</v>
      </c>
      <c r="S67" s="9">
        <f>S65-S63</f>
        <v>16.092304820000006</v>
      </c>
      <c r="T67" s="9">
        <f>T65-T63</f>
        <v>14.102576740000007</v>
      </c>
      <c r="U67" s="9">
        <f>U65-U63</f>
        <v>11.413736150000004</v>
      </c>
      <c r="V67" s="9">
        <f>V65-V63</f>
        <v>10.911691419999997</v>
      </c>
      <c r="W67" s="9">
        <f t="shared" si="40"/>
        <v>13.469644769999995</v>
      </c>
      <c r="X67" s="9">
        <f t="shared" ref="X67:Y67" si="41">X65-X63</f>
        <v>17.790658310000005</v>
      </c>
      <c r="Y67" s="9">
        <f t="shared" si="41"/>
        <v>9.9220379099999914</v>
      </c>
      <c r="Z67" s="9">
        <f t="shared" ref="Z67" si="42">Z65-Z63</f>
        <v>12.321331760000003</v>
      </c>
      <c r="AA67" s="9">
        <f t="shared" ref="AA67:AG67" si="43">AA65-AA63</f>
        <v>7.3580409999999983</v>
      </c>
      <c r="AB67" s="9">
        <f t="shared" si="43"/>
        <v>6.7242893699999993</v>
      </c>
      <c r="AC67" s="9">
        <f t="shared" si="43"/>
        <v>16.477185669999997</v>
      </c>
      <c r="AD67" s="9">
        <f t="shared" si="43"/>
        <v>18.472225720000001</v>
      </c>
      <c r="AE67" s="9">
        <f t="shared" si="43"/>
        <v>15.989242209999997</v>
      </c>
      <c r="AF67" s="9">
        <f t="shared" si="43"/>
        <v>18.991432969999998</v>
      </c>
      <c r="AG67" s="9">
        <f t="shared" si="43"/>
        <v>19.581899710000005</v>
      </c>
      <c r="AH67" s="9">
        <v>13.52670906</v>
      </c>
      <c r="AI67" s="9">
        <v>15.656362469999999</v>
      </c>
      <c r="AJ67" s="9">
        <f t="shared" ref="AJ67:AO67" si="44">AJ65-AJ63</f>
        <v>16.272895390000006</v>
      </c>
      <c r="AK67" s="9">
        <f t="shared" si="44"/>
        <v>16.934051869999994</v>
      </c>
      <c r="AL67" s="9">
        <f t="shared" si="44"/>
        <v>14.455169850000001</v>
      </c>
      <c r="AM67" s="9">
        <f t="shared" si="44"/>
        <v>19.862733290000001</v>
      </c>
      <c r="AN67" s="9">
        <f t="shared" si="44"/>
        <v>18.279215909999984</v>
      </c>
      <c r="AO67" s="9">
        <f t="shared" si="44"/>
        <v>24.898559639999995</v>
      </c>
      <c r="AP67" s="9">
        <f t="shared" ref="AP67" si="45">AP65-AP63</f>
        <v>21.749549699999996</v>
      </c>
    </row>
    <row r="68" spans="1:42">
      <c r="W68" s="53"/>
    </row>
    <row r="69" spans="1:42">
      <c r="W69" s="53"/>
      <c r="AJ69" s="53"/>
      <c r="AK69" s="53"/>
      <c r="AL69" s="53"/>
      <c r="AM69" s="53"/>
      <c r="AN69" s="53"/>
      <c r="AO69" s="53"/>
    </row>
    <row r="70" spans="1:42" ht="92.25" customHeight="1">
      <c r="B70" s="120" t="s">
        <v>109</v>
      </c>
      <c r="C70" s="120"/>
      <c r="D70" s="120"/>
      <c r="E70" s="120"/>
      <c r="W70" s="53"/>
    </row>
    <row r="71" spans="1:42">
      <c r="AG71" s="53"/>
      <c r="AH71" s="53"/>
      <c r="AI71" s="53"/>
      <c r="AJ71" s="55"/>
      <c r="AK71" s="53"/>
      <c r="AL71" s="53"/>
      <c r="AM71" s="53"/>
      <c r="AN71" s="53"/>
      <c r="AO71" s="53"/>
    </row>
    <row r="72" spans="1:42" ht="226.5" customHeight="1">
      <c r="B72" s="120"/>
      <c r="C72" s="120"/>
      <c r="D72" s="120"/>
      <c r="E72" s="120"/>
      <c r="W72" s="53"/>
    </row>
    <row r="73" spans="1:42">
      <c r="W73" s="54"/>
    </row>
  </sheetData>
  <mergeCells count="65">
    <mergeCell ref="AP7:AP8"/>
    <mergeCell ref="AP42:AP43"/>
    <mergeCell ref="AO7:AO8"/>
    <mergeCell ref="AO42:AO43"/>
    <mergeCell ref="Y42:Y43"/>
    <mergeCell ref="AM42:AM43"/>
    <mergeCell ref="AM7:AM8"/>
    <mergeCell ref="AN7:AN8"/>
    <mergeCell ref="AN42:AN43"/>
    <mergeCell ref="AE7:AE8"/>
    <mergeCell ref="AE42:AE43"/>
    <mergeCell ref="Z42:Z43"/>
    <mergeCell ref="AH42:AH43"/>
    <mergeCell ref="AG7:AG8"/>
    <mergeCell ref="AG42:AG43"/>
    <mergeCell ref="AB7:AB8"/>
    <mergeCell ref="C7:C8"/>
    <mergeCell ref="D7:D8"/>
    <mergeCell ref="E7:E8"/>
    <mergeCell ref="U42:U43"/>
    <mergeCell ref="U7:U8"/>
    <mergeCell ref="E42:E43"/>
    <mergeCell ref="S42:S43"/>
    <mergeCell ref="T42:T43"/>
    <mergeCell ref="N42:N43"/>
    <mergeCell ref="O42:O43"/>
    <mergeCell ref="P42:P43"/>
    <mergeCell ref="M42:M43"/>
    <mergeCell ref="K42:K43"/>
    <mergeCell ref="L42:L43"/>
    <mergeCell ref="B72:E72"/>
    <mergeCell ref="C42:C43"/>
    <mergeCell ref="D42:D43"/>
    <mergeCell ref="B70:E70"/>
    <mergeCell ref="J42:J43"/>
    <mergeCell ref="I42:I43"/>
    <mergeCell ref="V42:V43"/>
    <mergeCell ref="Z7:Z8"/>
    <mergeCell ref="AA7:AA8"/>
    <mergeCell ref="Q42:Q43"/>
    <mergeCell ref="R42:R43"/>
    <mergeCell ref="V7:V8"/>
    <mergeCell ref="B35:AN37"/>
    <mergeCell ref="Y7:Y8"/>
    <mergeCell ref="AL7:AL8"/>
    <mergeCell ref="AL42:AL43"/>
    <mergeCell ref="AK7:AK8"/>
    <mergeCell ref="AK42:AK43"/>
    <mergeCell ref="AF42:AF43"/>
    <mergeCell ref="AF7:AF8"/>
    <mergeCell ref="AI7:AI8"/>
    <mergeCell ref="AI42:AI43"/>
    <mergeCell ref="AH7:AH8"/>
    <mergeCell ref="AJ7:AJ8"/>
    <mergeCell ref="W7:W8"/>
    <mergeCell ref="X7:X8"/>
    <mergeCell ref="AJ42:AJ43"/>
    <mergeCell ref="AD42:AD43"/>
    <mergeCell ref="AC42:AC43"/>
    <mergeCell ref="AA42:AA43"/>
    <mergeCell ref="AB42:AB43"/>
    <mergeCell ref="W42:W43"/>
    <mergeCell ref="X42:X43"/>
    <mergeCell ref="AC7:AC8"/>
    <mergeCell ref="AD7:AD8"/>
  </mergeCells>
  <phoneticPr fontId="14" type="noConversion"/>
  <pageMargins left="0.7" right="0.7" top="0.75" bottom="0.75" header="0.3" footer="0.3"/>
  <pageSetup orientation="portrait" r:id="rId1"/>
  <ignoredErrors>
    <ignoredError sqref="AB10 AB52" formula="1"/>
    <ignoredError sqref="C47:E67 D45:E45 D46:E46" evalError="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4:AT54"/>
  <sheetViews>
    <sheetView tabSelected="1" topLeftCell="B2" zoomScale="80" zoomScaleNormal="80" workbookViewId="0">
      <selection activeCell="F54" sqref="F54"/>
    </sheetView>
  </sheetViews>
  <sheetFormatPr baseColWidth="10" defaultColWidth="11.42578125" defaultRowHeight="15"/>
  <cols>
    <col min="1" max="1" width="11.42578125" style="1" hidden="1" customWidth="1"/>
    <col min="2" max="2" width="57" style="1" customWidth="1"/>
    <col min="3" max="7" width="11.42578125" style="1"/>
    <col min="8" max="8" width="60.7109375" style="1" customWidth="1"/>
    <col min="9" max="20" width="11.42578125" style="1" hidden="1" customWidth="1"/>
    <col min="21" max="26" width="15" style="1" customWidth="1"/>
    <col min="27" max="36" width="11.42578125" style="1" customWidth="1"/>
    <col min="37" max="16384" width="11.42578125" style="1"/>
  </cols>
  <sheetData>
    <row r="4" spans="1:45" ht="23.25">
      <c r="B4" s="12" t="s">
        <v>0</v>
      </c>
      <c r="C4" s="13"/>
      <c r="D4" s="13"/>
      <c r="E4" s="13"/>
      <c r="H4" s="12" t="s">
        <v>0</v>
      </c>
      <c r="I4" s="13"/>
      <c r="J4" s="13"/>
      <c r="K4" s="13"/>
      <c r="L4" s="13"/>
      <c r="M4" s="13"/>
      <c r="N4" s="13"/>
      <c r="O4" s="13"/>
      <c r="P4" s="13"/>
      <c r="Q4" s="13"/>
      <c r="R4" s="13"/>
      <c r="S4" s="13"/>
      <c r="T4" s="13"/>
      <c r="U4" s="13"/>
      <c r="V4" s="13"/>
      <c r="W4" s="13"/>
      <c r="X4" s="13"/>
      <c r="Y4" s="13"/>
      <c r="Z4" s="13"/>
      <c r="AA4" s="13"/>
      <c r="AB4" s="13"/>
      <c r="AC4" s="13"/>
      <c r="AD4" s="13"/>
      <c r="AE4" s="13"/>
      <c r="AF4" s="13"/>
      <c r="AG4" s="13"/>
      <c r="AH4" s="13"/>
      <c r="AI4" s="13"/>
      <c r="AJ4" s="13"/>
      <c r="AK4" s="13"/>
      <c r="AL4" s="13"/>
      <c r="AM4" s="13"/>
      <c r="AN4" s="13"/>
      <c r="AO4" s="13"/>
      <c r="AP4" s="13"/>
    </row>
    <row r="5" spans="1:45" ht="8.25" customHeight="1"/>
    <row r="6" spans="1:45">
      <c r="A6" s="1">
        <v>1</v>
      </c>
      <c r="B6" s="3" t="s">
        <v>110</v>
      </c>
      <c r="C6" s="117" t="s">
        <v>34</v>
      </c>
      <c r="D6" s="117" t="s">
        <v>148</v>
      </c>
      <c r="E6" s="117" t="s">
        <v>4</v>
      </c>
      <c r="H6" s="3" t="s">
        <v>110</v>
      </c>
      <c r="I6" s="117" t="s">
        <v>6</v>
      </c>
      <c r="J6" s="117" t="s">
        <v>7</v>
      </c>
      <c r="K6" s="117" t="s">
        <v>8</v>
      </c>
      <c r="L6" s="117" t="s">
        <v>9</v>
      </c>
      <c r="M6" s="117" t="s">
        <v>10</v>
      </c>
      <c r="N6" s="117" t="s">
        <v>11</v>
      </c>
      <c r="O6" s="117" t="s">
        <v>12</v>
      </c>
      <c r="P6" s="117" t="s">
        <v>13</v>
      </c>
      <c r="Q6" s="117" t="s">
        <v>14</v>
      </c>
      <c r="R6" s="117" t="s">
        <v>15</v>
      </c>
      <c r="S6" s="117" t="s">
        <v>16</v>
      </c>
      <c r="T6" s="117" t="s">
        <v>17</v>
      </c>
      <c r="U6" s="117" t="s">
        <v>18</v>
      </c>
      <c r="V6" s="117" t="s">
        <v>19</v>
      </c>
      <c r="W6" s="117" t="s">
        <v>20</v>
      </c>
      <c r="X6" s="117" t="s">
        <v>21</v>
      </c>
      <c r="Y6" s="117" t="s">
        <v>22</v>
      </c>
      <c r="Z6" s="117" t="s">
        <v>23</v>
      </c>
      <c r="AA6" s="117" t="s">
        <v>24</v>
      </c>
      <c r="AB6" s="117" t="s">
        <v>25</v>
      </c>
      <c r="AC6" s="117" t="s">
        <v>26</v>
      </c>
      <c r="AD6" s="117" t="s">
        <v>27</v>
      </c>
      <c r="AE6" s="117" t="s">
        <v>28</v>
      </c>
      <c r="AF6" s="117" t="s">
        <v>29</v>
      </c>
      <c r="AG6" s="117" t="s">
        <v>30</v>
      </c>
      <c r="AH6" s="117" t="s">
        <v>31</v>
      </c>
      <c r="AI6" s="117" t="s">
        <v>32</v>
      </c>
      <c r="AJ6" s="117" t="s">
        <v>33</v>
      </c>
      <c r="AK6" s="117" t="s">
        <v>2</v>
      </c>
      <c r="AL6" s="117" t="s">
        <v>34</v>
      </c>
      <c r="AM6" s="117" t="s">
        <v>35</v>
      </c>
      <c r="AN6" s="117" t="s">
        <v>36</v>
      </c>
      <c r="AO6" s="117" t="s">
        <v>3</v>
      </c>
      <c r="AP6" s="117" t="s">
        <v>148</v>
      </c>
    </row>
    <row r="7" spans="1:45">
      <c r="A7" s="1">
        <v>2</v>
      </c>
      <c r="B7" s="3" t="s">
        <v>64</v>
      </c>
      <c r="C7" s="117"/>
      <c r="D7" s="117"/>
      <c r="E7" s="117"/>
      <c r="H7" s="3" t="s">
        <v>64</v>
      </c>
      <c r="I7" s="117"/>
      <c r="J7" s="117"/>
      <c r="K7" s="117"/>
      <c r="L7" s="117"/>
      <c r="M7" s="117"/>
      <c r="N7" s="117"/>
      <c r="O7" s="117"/>
      <c r="P7" s="117"/>
      <c r="Q7" s="117"/>
      <c r="R7" s="117"/>
      <c r="S7" s="117"/>
      <c r="T7" s="117"/>
      <c r="U7" s="117"/>
      <c r="V7" s="117"/>
      <c r="W7" s="117"/>
      <c r="X7" s="117"/>
      <c r="Y7" s="117"/>
      <c r="Z7" s="117"/>
      <c r="AA7" s="117"/>
      <c r="AB7" s="117"/>
      <c r="AC7" s="117"/>
      <c r="AD7" s="117"/>
      <c r="AE7" s="117"/>
      <c r="AF7" s="117"/>
      <c r="AG7" s="117"/>
      <c r="AH7" s="117"/>
      <c r="AI7" s="117"/>
      <c r="AJ7" s="117"/>
      <c r="AK7" s="117"/>
      <c r="AL7" s="117"/>
      <c r="AM7" s="117"/>
      <c r="AN7" s="117"/>
      <c r="AO7" s="117"/>
      <c r="AP7" s="117"/>
    </row>
    <row r="8" spans="1:45" ht="5.25" customHeight="1">
      <c r="A8" s="1">
        <v>3</v>
      </c>
      <c r="AQ8" s="88"/>
    </row>
    <row r="9" spans="1:45">
      <c r="A9" s="1">
        <v>4</v>
      </c>
      <c r="B9" s="5" t="s">
        <v>81</v>
      </c>
      <c r="C9" s="8">
        <f>+HLOOKUP($C$6,$H$6:$AX$23,A9,FALSE)</f>
        <v>1.07016618</v>
      </c>
      <c r="D9" s="8">
        <f>+HLOOKUP($D$6,$H$6:$AX$23,A9,FALSE)</f>
        <v>4.4897902843980351</v>
      </c>
      <c r="E9" s="36">
        <f>+D9/C9-1</f>
        <v>3.1954141032545387</v>
      </c>
      <c r="H9" s="5" t="s">
        <v>81</v>
      </c>
      <c r="I9" s="8">
        <v>1.4662270099999999</v>
      </c>
      <c r="J9" s="8">
        <v>1.1757188900000002</v>
      </c>
      <c r="K9" s="8">
        <v>1.7353684800000002</v>
      </c>
      <c r="L9" s="8">
        <v>1.1839040000000001</v>
      </c>
      <c r="M9" s="8">
        <v>0.95460129000000005</v>
      </c>
      <c r="N9" s="8">
        <v>1.11481557</v>
      </c>
      <c r="O9" s="8">
        <v>1.42294038</v>
      </c>
      <c r="P9" s="8">
        <v>2.02492457</v>
      </c>
      <c r="Q9" s="8">
        <v>2.5239263000000003</v>
      </c>
      <c r="R9" s="8">
        <v>2.6392289799999999</v>
      </c>
      <c r="S9" s="8">
        <v>1.97991607</v>
      </c>
      <c r="T9" s="8">
        <v>2.3358944199999998</v>
      </c>
      <c r="U9" s="8">
        <v>2.4035590900000003</v>
      </c>
      <c r="V9" s="8">
        <v>2.6319862900000004</v>
      </c>
      <c r="W9" s="8">
        <v>3.0199921999999999</v>
      </c>
      <c r="X9" s="8">
        <v>4.0376973799999991</v>
      </c>
      <c r="Y9" s="8">
        <v>4.6344836200000001</v>
      </c>
      <c r="Z9" s="8">
        <v>4.2783687300000004</v>
      </c>
      <c r="AA9" s="8">
        <v>4.7103349699999999</v>
      </c>
      <c r="AB9" s="8">
        <f>6.01289806-AB33</f>
        <v>5.7128980600000006</v>
      </c>
      <c r="AC9" s="8">
        <f>6.38418633-AC33</f>
        <v>6.2427841200000005</v>
      </c>
      <c r="AD9" s="8">
        <v>4.8234028599999998</v>
      </c>
      <c r="AE9" s="8">
        <f>4.91729925-AE33</f>
        <v>4.8143698200000005</v>
      </c>
      <c r="AF9" s="8">
        <v>5.6272245399999994</v>
      </c>
      <c r="AG9" s="8">
        <v>5.0345027899999995</v>
      </c>
      <c r="AH9" s="8">
        <f>2.96507997-AH33</f>
        <v>2.84445215</v>
      </c>
      <c r="AI9" s="8">
        <f>1.77239862-AI33</f>
        <v>1.4703623100000001</v>
      </c>
      <c r="AJ9" s="8">
        <f>1.47030009-AJ33</f>
        <v>1.31337612</v>
      </c>
      <c r="AK9" s="8">
        <f>1.29118209-AK33</f>
        <v>1.2344813399999999</v>
      </c>
      <c r="AL9" s="8">
        <f>1.1247755-AL33</f>
        <v>1.07016618</v>
      </c>
      <c r="AM9" s="8">
        <f>0.942097710000001-AM33</f>
        <v>0.91264000000000101</v>
      </c>
      <c r="AN9" s="8">
        <f>1.60977117-AN33</f>
        <v>1.5648380799999999</v>
      </c>
      <c r="AO9" s="8">
        <f>2.52594328-AO33</f>
        <v>2.4388063899999999</v>
      </c>
      <c r="AP9" s="8">
        <v>4.4897902843980351</v>
      </c>
    </row>
    <row r="10" spans="1:45">
      <c r="A10" s="1">
        <v>5</v>
      </c>
      <c r="B10" s="5" t="s">
        <v>82</v>
      </c>
      <c r="C10" s="8">
        <f t="shared" ref="C10:C23" si="0">+HLOOKUP($C$6,$H$6:$AX$23,A10,FALSE)</f>
        <v>-15.183844811518998</v>
      </c>
      <c r="D10" s="8">
        <f t="shared" ref="D10:D23" si="1">+HLOOKUP($D$6,$H$6:$AX$23,A10,FALSE)</f>
        <v>-14.807352820752794</v>
      </c>
      <c r="E10" s="36">
        <f t="shared" ref="E10:E13" si="2">+D10/C10-1</f>
        <v>-2.4795563669129717E-2</v>
      </c>
      <c r="H10" s="5" t="s">
        <v>82</v>
      </c>
      <c r="I10" s="8">
        <v>-10.626635870000003</v>
      </c>
      <c r="J10" s="8">
        <v>-18.906711529999999</v>
      </c>
      <c r="K10" s="8">
        <v>-22.234989130000002</v>
      </c>
      <c r="L10" s="8">
        <v>-24.200978769999999</v>
      </c>
      <c r="M10" s="8">
        <v>-22.225827200000001</v>
      </c>
      <c r="N10" s="8">
        <v>-22.659230260000001</v>
      </c>
      <c r="O10" s="8">
        <v>-22.1827258</v>
      </c>
      <c r="P10" s="8">
        <v>-23.468063270000012</v>
      </c>
      <c r="Q10" s="8">
        <v>-21.995525559999994</v>
      </c>
      <c r="R10" s="8">
        <v>-29.405213699999994</v>
      </c>
      <c r="S10" s="8">
        <v>-20.349421719999999</v>
      </c>
      <c r="T10" s="8">
        <v>-17.031099160000004</v>
      </c>
      <c r="U10" s="8">
        <v>-17.078348720000001</v>
      </c>
      <c r="V10" s="8">
        <v>-16.949563600000001</v>
      </c>
      <c r="W10" s="8">
        <v>-18.106198549999998</v>
      </c>
      <c r="X10" s="8">
        <v>-18.049542049999999</v>
      </c>
      <c r="Y10" s="8">
        <v>-16.651068130000002</v>
      </c>
      <c r="Z10" s="8">
        <v>-16.379844120000001</v>
      </c>
      <c r="AA10" s="8">
        <v>-16.317024100000001</v>
      </c>
      <c r="AB10" s="8">
        <f>+-20.77659963-AB34</f>
        <v>-16.176599629999998</v>
      </c>
      <c r="AC10" s="8">
        <f>+-22.87158708-AC34</f>
        <v>-18.271972760000001</v>
      </c>
      <c r="AD10" s="8">
        <v>-16.063149940000002</v>
      </c>
      <c r="AE10" s="8">
        <f>+-22.90039531-AE34</f>
        <v>-15.867734390000001</v>
      </c>
      <c r="AF10" s="8">
        <v>-15.93443744</v>
      </c>
      <c r="AG10" s="8">
        <v>-22.52007699</v>
      </c>
      <c r="AH10" s="8">
        <f>+-22.69825814-AH34</f>
        <v>-16.0913121</v>
      </c>
      <c r="AI10" s="8">
        <f>-22.93371934-AI34</f>
        <v>-15.99297938</v>
      </c>
      <c r="AJ10" s="8">
        <f>+-22.3071621318032-AJ34</f>
        <v>-15.8623332918032</v>
      </c>
      <c r="AK10" s="8">
        <f>+-22.189419768481-AK34</f>
        <v>-15.563348398480999</v>
      </c>
      <c r="AL10" s="8">
        <f>+-21.403158571519-AL34</f>
        <v>-15.183844811518998</v>
      </c>
      <c r="AM10" s="8">
        <f>+-20.9877454360415-AM34</f>
        <v>-14.383637196041501</v>
      </c>
      <c r="AN10" s="8">
        <f>+-21.7663304023006-AN34</f>
        <v>-15.7333862323006</v>
      </c>
      <c r="AO10" s="8">
        <f>+-20.9064111211749-AO34</f>
        <v>-14.6295752711749</v>
      </c>
      <c r="AP10" s="8">
        <v>-14.807352820752794</v>
      </c>
    </row>
    <row r="11" spans="1:45">
      <c r="A11" s="1">
        <v>6</v>
      </c>
      <c r="B11" s="5" t="s">
        <v>83</v>
      </c>
      <c r="C11" s="8">
        <f t="shared" si="0"/>
        <v>1.0239868724970975</v>
      </c>
      <c r="D11" s="8">
        <f t="shared" si="1"/>
        <v>-10.035349439768114</v>
      </c>
      <c r="E11" s="89">
        <f t="shared" si="2"/>
        <v>-10.800271575060215</v>
      </c>
      <c r="H11" s="5" t="s">
        <v>83</v>
      </c>
      <c r="I11" s="8">
        <v>-8.8651856400000035</v>
      </c>
      <c r="J11" s="8">
        <v>-4.3334364300000034</v>
      </c>
      <c r="K11" s="8">
        <v>-4.3586822799999982</v>
      </c>
      <c r="L11" s="8">
        <v>-4.8634491599999947</v>
      </c>
      <c r="M11" s="8">
        <v>0.40925101999999863</v>
      </c>
      <c r="N11" s="8">
        <v>9.0239089999998218E-2</v>
      </c>
      <c r="O11" s="8">
        <v>-11.379597659999998</v>
      </c>
      <c r="P11" s="8">
        <v>-0.28029470999999839</v>
      </c>
      <c r="Q11" s="8">
        <v>1.6776827199999993</v>
      </c>
      <c r="R11" s="8">
        <v>1.8926907599999989</v>
      </c>
      <c r="S11" s="8">
        <v>0.6660450100000006</v>
      </c>
      <c r="T11" s="8">
        <v>-2.1365888599999994</v>
      </c>
      <c r="U11" s="8">
        <v>-1.1568363599999962</v>
      </c>
      <c r="V11" s="8">
        <v>0.97049637000000044</v>
      </c>
      <c r="W11" s="8">
        <v>2.7896323000000032</v>
      </c>
      <c r="X11" s="8">
        <v>3.2934243999999993</v>
      </c>
      <c r="Y11" s="8">
        <v>-0.92194750000000047</v>
      </c>
      <c r="Z11" s="8">
        <v>-6.2046905200000015</v>
      </c>
      <c r="AA11" s="8">
        <v>-1.2370830100000005</v>
      </c>
      <c r="AB11" s="8">
        <f>+-3.07027684-AB35</f>
        <v>-2.3702768399999998</v>
      </c>
      <c r="AC11" s="8">
        <f>1.26233637-AC35</f>
        <v>0.51242419000000017</v>
      </c>
      <c r="AD11" s="8">
        <v>0.56314343000000178</v>
      </c>
      <c r="AE11" s="8">
        <f>+-7.7517799-AE35</f>
        <v>-6.7136207399999996</v>
      </c>
      <c r="AF11" s="8">
        <v>-2.4574157799999981</v>
      </c>
      <c r="AG11" s="8">
        <v>-4.8135680699999979</v>
      </c>
      <c r="AH11" s="8">
        <f>4.90670248-AH35</f>
        <v>6.4015687899999998</v>
      </c>
      <c r="AI11" s="8">
        <f>2.12866110999999-AI35</f>
        <v>2.3133282699999902</v>
      </c>
      <c r="AJ11" s="8">
        <f>3.48765462486777-AJ35</f>
        <v>3.6742374048677702</v>
      </c>
      <c r="AK11" s="8">
        <f>+-2.8008947524971-AK35</f>
        <v>-1.7878934124971002</v>
      </c>
      <c r="AL11" s="8">
        <f>0.663801022497097-AL35</f>
        <v>1.0239868724970975</v>
      </c>
      <c r="AM11" s="8">
        <f>+-10.3464105744538-AM35</f>
        <v>-8.8174842144538008</v>
      </c>
      <c r="AN11" s="8">
        <f>+-1.34246772571796-AN35</f>
        <v>-2.5856108957179602</v>
      </c>
      <c r="AO11" s="8">
        <f>1.48156127068601-AO35</f>
        <v>0.29630127068600998</v>
      </c>
      <c r="AP11" s="8">
        <v>-10.035349439768114</v>
      </c>
      <c r="AR11" s="88"/>
    </row>
    <row r="12" spans="1:45">
      <c r="A12" s="1">
        <v>7</v>
      </c>
      <c r="B12" s="5" t="s">
        <v>84</v>
      </c>
      <c r="C12" s="8">
        <f t="shared" si="0"/>
        <v>1.9524835000000005</v>
      </c>
      <c r="D12" s="8">
        <f t="shared" si="1"/>
        <v>2.6146828799999997</v>
      </c>
      <c r="E12" s="36">
        <f t="shared" si="2"/>
        <v>0.33915747815538477</v>
      </c>
      <c r="H12" s="5" t="s">
        <v>84</v>
      </c>
      <c r="I12" s="8">
        <v>1.3290894200000001</v>
      </c>
      <c r="J12" s="8">
        <v>1.5853836699999999</v>
      </c>
      <c r="K12" s="8">
        <v>0.97654169999999996</v>
      </c>
      <c r="L12" s="8">
        <v>-103.20577056</v>
      </c>
      <c r="M12" s="8">
        <v>1.4798667200000002</v>
      </c>
      <c r="N12" s="8">
        <v>1.6878022100000001</v>
      </c>
      <c r="O12" s="8">
        <v>2.3139469400000001</v>
      </c>
      <c r="P12" s="8">
        <v>1.1384796700000002</v>
      </c>
      <c r="Q12" s="8">
        <v>1.3951977900000001</v>
      </c>
      <c r="R12" s="8">
        <v>1.6620992699999999</v>
      </c>
      <c r="S12" s="8">
        <v>1.4309245900000001</v>
      </c>
      <c r="T12" s="8">
        <v>0.92597229999999997</v>
      </c>
      <c r="U12" s="8">
        <v>0.73980449999999998</v>
      </c>
      <c r="V12" s="8">
        <v>1.1078972599999999</v>
      </c>
      <c r="W12" s="8">
        <v>1.2924579299999999</v>
      </c>
      <c r="X12" s="8">
        <v>-0.23659015999999999</v>
      </c>
      <c r="Y12" s="8">
        <v>4.6503776200000004</v>
      </c>
      <c r="Z12" s="8">
        <v>2.09918505</v>
      </c>
      <c r="AA12" s="8">
        <v>2.82230545</v>
      </c>
      <c r="AB12" s="8">
        <f>1.81704674-AB36</f>
        <v>2.1170467400000001</v>
      </c>
      <c r="AC12" s="8">
        <v>2.2436588</v>
      </c>
      <c r="AD12" s="8">
        <v>2.5646927799999997</v>
      </c>
      <c r="AE12" s="8">
        <v>2.1804517300000001</v>
      </c>
      <c r="AF12" s="8">
        <v>2.0129498799999999</v>
      </c>
      <c r="AG12" s="8">
        <v>2.3433842899999999</v>
      </c>
      <c r="AH12" s="8">
        <v>2.14213787</v>
      </c>
      <c r="AI12" s="8">
        <v>2.18435165</v>
      </c>
      <c r="AJ12" s="8">
        <v>3.2800220100000002</v>
      </c>
      <c r="AK12" s="8">
        <v>1.37134892</v>
      </c>
      <c r="AL12" s="8">
        <v>1.9524835000000005</v>
      </c>
      <c r="AM12" s="8">
        <v>2.0504456300000009</v>
      </c>
      <c r="AN12" s="8">
        <v>1.3235566899999993</v>
      </c>
      <c r="AO12" s="8">
        <v>2.6146828799999997</v>
      </c>
      <c r="AP12" s="8">
        <v>2.6146828799999997</v>
      </c>
    </row>
    <row r="13" spans="1:45">
      <c r="A13" s="1">
        <v>8</v>
      </c>
      <c r="B13" s="5" t="s">
        <v>85</v>
      </c>
      <c r="C13" s="8">
        <f t="shared" si="0"/>
        <v>-22.324859756708801</v>
      </c>
      <c r="D13" s="8">
        <f t="shared" si="1"/>
        <v>-13.536985459851605</v>
      </c>
      <c r="E13" s="36">
        <f t="shared" si="2"/>
        <v>-0.39363625987466144</v>
      </c>
      <c r="H13" s="5" t="s">
        <v>85</v>
      </c>
      <c r="I13" s="8">
        <v>7.6787009399999997</v>
      </c>
      <c r="J13" s="8">
        <v>-0.6349095800000002</v>
      </c>
      <c r="K13" s="8">
        <v>1.5550089300000001</v>
      </c>
      <c r="L13" s="8">
        <v>-10.01893578</v>
      </c>
      <c r="M13" s="8">
        <v>-0.86712882999999974</v>
      </c>
      <c r="N13" s="8">
        <v>-3.8732335000000004</v>
      </c>
      <c r="O13" s="8">
        <v>10.518928080000002</v>
      </c>
      <c r="P13" s="8">
        <v>-6.9999426499999995</v>
      </c>
      <c r="Q13" s="8">
        <v>-0.57909954999999991</v>
      </c>
      <c r="R13" s="8">
        <v>-3.5300810800000009</v>
      </c>
      <c r="S13" s="8">
        <v>-0.45134172000000006</v>
      </c>
      <c r="T13" s="8">
        <v>-9.0108974999999987</v>
      </c>
      <c r="U13" s="8">
        <v>-4.5125797099999998</v>
      </c>
      <c r="V13" s="8">
        <v>14.862204890000001</v>
      </c>
      <c r="W13" s="8">
        <v>-3.5680980999999998</v>
      </c>
      <c r="X13" s="8">
        <v>-91.652864159999993</v>
      </c>
      <c r="Y13" s="8">
        <v>-4.1548844699999998</v>
      </c>
      <c r="Z13" s="8">
        <v>-9.2554299900000014</v>
      </c>
      <c r="AA13" s="8">
        <v>-4.7160856799999999</v>
      </c>
      <c r="AB13" s="8">
        <v>-34.22733968</v>
      </c>
      <c r="AC13" s="8">
        <f>+-4.51412636-AC36</f>
        <v>-5.9547356499999999</v>
      </c>
      <c r="AD13" s="8">
        <v>-9.8854343699999987</v>
      </c>
      <c r="AE13" s="8">
        <f>+-9.97992889-AE36</f>
        <v>-7.72404622</v>
      </c>
      <c r="AF13" s="8">
        <v>-82.605248800000012</v>
      </c>
      <c r="AG13" s="8">
        <v>-29.421527419999997</v>
      </c>
      <c r="AH13" s="8">
        <f>+-9.42644867-AH36</f>
        <v>-8.2086153999999993</v>
      </c>
      <c r="AI13" s="8">
        <f>+-7.9983525-AI36</f>
        <v>-8.3186008599999983</v>
      </c>
      <c r="AJ13" s="8">
        <f>+-193.31770803-AJ36</f>
        <v>-13.078110480000021</v>
      </c>
      <c r="AK13" s="8">
        <f>+-21.5381204620468-AK36</f>
        <v>-21.3322415620468</v>
      </c>
      <c r="AL13" s="8">
        <f>+-22.6635342667088-AL36</f>
        <v>-22.324859756708801</v>
      </c>
      <c r="AM13" s="8">
        <f>818.753137540501-AM36</f>
        <v>819.33085374050108</v>
      </c>
      <c r="AN13" s="8">
        <f>+-161.90484948138-AN36</f>
        <v>-160.61044991138002</v>
      </c>
      <c r="AO13" s="8">
        <f>+-16.21641086587-AO36</f>
        <v>-14.620499125869999</v>
      </c>
      <c r="AP13" s="8">
        <v>-13.536985459851605</v>
      </c>
      <c r="AS13" s="88"/>
    </row>
    <row r="14" spans="1:45" ht="5.25" customHeight="1">
      <c r="A14" s="1">
        <v>9</v>
      </c>
      <c r="E14" s="39"/>
    </row>
    <row r="15" spans="1:45">
      <c r="A15" s="1">
        <v>10</v>
      </c>
      <c r="B15" s="6" t="s">
        <v>86</v>
      </c>
      <c r="C15" s="9">
        <f t="shared" si="0"/>
        <v>-33.462068015730701</v>
      </c>
      <c r="D15" s="9">
        <f t="shared" si="1"/>
        <v>-31.275214555974479</v>
      </c>
      <c r="E15" s="38">
        <f>D15/C15-1</f>
        <v>-6.5353207062043173E-2</v>
      </c>
      <c r="H15" s="6" t="s">
        <v>86</v>
      </c>
      <c r="I15" s="9">
        <v>-6.6308545700000083</v>
      </c>
      <c r="J15" s="9">
        <v>-17.834364060000002</v>
      </c>
      <c r="K15" s="9">
        <v>-21.318247579999998</v>
      </c>
      <c r="L15" s="9">
        <v>-138.73017600999998</v>
      </c>
      <c r="M15" s="9">
        <v>-20.192410980000002</v>
      </c>
      <c r="N15" s="9">
        <v>-22.432699890000002</v>
      </c>
      <c r="O15" s="9">
        <v>-18.421275529999996</v>
      </c>
      <c r="P15" s="9">
        <v>-27.308815910000014</v>
      </c>
      <c r="Q15" s="9">
        <v>-16.977818299999992</v>
      </c>
      <c r="R15" s="9">
        <v>-26.800124760000003</v>
      </c>
      <c r="S15" s="9">
        <v>-16.719940419999993</v>
      </c>
      <c r="T15" s="9">
        <v>-24.917197690000002</v>
      </c>
      <c r="U15" s="9">
        <v>-19.604401199999995</v>
      </c>
      <c r="V15" s="9">
        <v>2.623021210000001</v>
      </c>
      <c r="W15" s="9">
        <v>-14.572214219999999</v>
      </c>
      <c r="X15" s="9">
        <v>-102.60787458999999</v>
      </c>
      <c r="Y15" s="9">
        <f t="shared" ref="Y15:AH15" si="3">SUM(Y9:Y13)</f>
        <v>-12.443038860000001</v>
      </c>
      <c r="Z15" s="9">
        <f t="shared" si="3"/>
        <v>-25.462410850000005</v>
      </c>
      <c r="AA15" s="9">
        <f t="shared" si="3"/>
        <v>-14.737552370000003</v>
      </c>
      <c r="AB15" s="9">
        <f t="shared" si="3"/>
        <v>-44.944271349999994</v>
      </c>
      <c r="AC15" s="9">
        <f>SUM(AC9:AC13)</f>
        <v>-15.2278413</v>
      </c>
      <c r="AD15" s="9">
        <f t="shared" si="3"/>
        <v>-17.997345240000001</v>
      </c>
      <c r="AE15" s="9">
        <f t="shared" si="3"/>
        <v>-23.310579799999999</v>
      </c>
      <c r="AF15" s="9">
        <f t="shared" si="3"/>
        <v>-93.356927600000006</v>
      </c>
      <c r="AG15" s="9">
        <f>SUM(AG9:AG13)</f>
        <v>-49.377285399999998</v>
      </c>
      <c r="AH15" s="9">
        <f t="shared" si="3"/>
        <v>-12.911768689999999</v>
      </c>
      <c r="AI15" s="9">
        <f t="shared" ref="AI15:AP15" si="4">SUM(AI9:AI13)</f>
        <v>-18.343538010000007</v>
      </c>
      <c r="AJ15" s="9">
        <f t="shared" si="4"/>
        <v>-20.672808236935449</v>
      </c>
      <c r="AK15" s="9">
        <f t="shared" si="4"/>
        <v>-36.077653113024901</v>
      </c>
      <c r="AL15" s="9">
        <f t="shared" si="4"/>
        <v>-33.462068015730701</v>
      </c>
      <c r="AM15" s="9">
        <f t="shared" si="4"/>
        <v>799.09281796000573</v>
      </c>
      <c r="AN15" s="9">
        <f t="shared" si="4"/>
        <v>-176.04105226939856</v>
      </c>
      <c r="AO15" s="9">
        <f t="shared" si="4"/>
        <v>-23.90028385635889</v>
      </c>
      <c r="AP15" s="9">
        <f t="shared" si="4"/>
        <v>-31.275214555974479</v>
      </c>
      <c r="AQ15" s="88"/>
    </row>
    <row r="16" spans="1:45" ht="5.25" customHeight="1">
      <c r="A16" s="1">
        <v>11</v>
      </c>
      <c r="E16" s="39"/>
    </row>
    <row r="17" spans="1:44">
      <c r="A17" s="1">
        <v>12</v>
      </c>
      <c r="B17" s="6" t="s">
        <v>87</v>
      </c>
      <c r="C17" s="9">
        <f t="shared" si="0"/>
        <v>34.078006910840791</v>
      </c>
      <c r="D17" s="9">
        <f t="shared" si="1"/>
        <v>53.43652703288933</v>
      </c>
      <c r="E17" s="38">
        <f>D17/C17-1</f>
        <v>0.56806491567117634</v>
      </c>
      <c r="H17" s="6" t="s">
        <v>87</v>
      </c>
      <c r="I17" s="9">
        <v>71.170038330000011</v>
      </c>
      <c r="J17" s="9">
        <v>76.810161420000014</v>
      </c>
      <c r="K17" s="9">
        <v>49.311618929999987</v>
      </c>
      <c r="L17" s="9">
        <v>-27.623299349999996</v>
      </c>
      <c r="M17" s="9">
        <v>25.133030360000038</v>
      </c>
      <c r="N17" s="9">
        <v>65.548682040000045</v>
      </c>
      <c r="O17" s="9">
        <v>113.60699054999998</v>
      </c>
      <c r="P17" s="9">
        <v>95.746828170000015</v>
      </c>
      <c r="Q17" s="9">
        <v>88.66899841</v>
      </c>
      <c r="R17" s="9">
        <v>68.086533309999965</v>
      </c>
      <c r="S17" s="9">
        <v>40.708289729999997</v>
      </c>
      <c r="T17" s="9">
        <v>66.803174149999961</v>
      </c>
      <c r="U17" s="9">
        <v>72.245809979999947</v>
      </c>
      <c r="V17" s="9">
        <v>97.849836280000019</v>
      </c>
      <c r="W17" s="9">
        <v>94.273412179999951</v>
      </c>
      <c r="X17" s="9">
        <v>48.758042970000048</v>
      </c>
      <c r="Y17" s="9">
        <v>90.744920930000035</v>
      </c>
      <c r="Z17" s="9">
        <v>65.639307059999965</v>
      </c>
      <c r="AA17" s="9">
        <v>83.029694280000029</v>
      </c>
      <c r="AB17" s="9">
        <f>99.94054904-AB40</f>
        <v>92.373828939999996</v>
      </c>
      <c r="AC17" s="9">
        <f>85.56234492-AC40</f>
        <v>83.69173524</v>
      </c>
      <c r="AD17" s="9">
        <v>81.263724620000033</v>
      </c>
      <c r="AE17" s="9">
        <f>81.32811843-AE40</f>
        <v>87.324650640000002</v>
      </c>
      <c r="AF17" s="9">
        <v>21.793171331313715</v>
      </c>
      <c r="AG17" s="9">
        <f>62.3968582-AG40</f>
        <v>63.109089509999997</v>
      </c>
      <c r="AH17" s="9">
        <f>72.1701592-AH40</f>
        <v>79.320968449999995</v>
      </c>
      <c r="AI17" s="9">
        <f>88.03666669-AI40</f>
        <v>91.066392160000007</v>
      </c>
      <c r="AJ17" s="9">
        <f>+-90.3962678490674-AJ40</f>
        <v>91.736542920932564</v>
      </c>
      <c r="AK17" s="9">
        <f>38.0623140364472-AK40</f>
        <v>37.867890736447201</v>
      </c>
      <c r="AL17" s="9">
        <f>32.8849414708408-AL40</f>
        <v>34.078006910840791</v>
      </c>
      <c r="AM17" s="9">
        <f>803.295471804277-AM40</f>
        <v>800.89430201427695</v>
      </c>
      <c r="AN17" s="9">
        <f>+-70.4643826836201-AN40</f>
        <v>-73.769562153620086</v>
      </c>
      <c r="AO17" s="9">
        <v>52.793280604383298</v>
      </c>
      <c r="AP17" s="9">
        <v>53.43652703288933</v>
      </c>
    </row>
    <row r="18" spans="1:44" ht="5.25" customHeight="1">
      <c r="A18" s="1">
        <v>13</v>
      </c>
      <c r="E18" s="39"/>
    </row>
    <row r="19" spans="1:44">
      <c r="A19" s="1">
        <v>14</v>
      </c>
      <c r="B19" s="5" t="s">
        <v>88</v>
      </c>
      <c r="C19" s="8">
        <f t="shared" si="0"/>
        <v>-18.134583996124501</v>
      </c>
      <c r="D19" s="8">
        <f t="shared" si="1"/>
        <v>-13.464414997421038</v>
      </c>
      <c r="E19" s="49" t="s">
        <v>50</v>
      </c>
      <c r="H19" s="5" t="s">
        <v>88</v>
      </c>
      <c r="I19" s="8">
        <v>-19.63363708</v>
      </c>
      <c r="J19" s="8">
        <v>-5.2345776500000003</v>
      </c>
      <c r="K19" s="8">
        <v>-31.107243130000001</v>
      </c>
      <c r="L19" s="8">
        <v>-53.664444459999999</v>
      </c>
      <c r="M19" s="8">
        <v>-18.16355287</v>
      </c>
      <c r="N19" s="8">
        <v>-15.449120819999997</v>
      </c>
      <c r="O19" s="8">
        <v>-37.890691470000007</v>
      </c>
      <c r="P19" s="8">
        <v>-28.099890070000001</v>
      </c>
      <c r="Q19" s="8">
        <v>-20.475529990000002</v>
      </c>
      <c r="R19" s="8">
        <v>-15.959445620000002</v>
      </c>
      <c r="S19" s="8">
        <v>-10.37750636</v>
      </c>
      <c r="T19" s="8">
        <v>-20.138336279999997</v>
      </c>
      <c r="U19" s="8">
        <v>-19.51456001</v>
      </c>
      <c r="V19" s="8">
        <v>-18.404707349999999</v>
      </c>
      <c r="W19" s="8">
        <v>-24.271699469999998</v>
      </c>
      <c r="X19" s="8">
        <v>24.603435990000001</v>
      </c>
      <c r="Y19" s="8">
        <v>-24.868095619999998</v>
      </c>
      <c r="Z19" s="8">
        <v>-17.507565499999998</v>
      </c>
      <c r="AA19" s="8">
        <v>-23.21371285</v>
      </c>
      <c r="AB19" s="8">
        <f>+-32.56690244-AB42</f>
        <v>-31.166902440000001</v>
      </c>
      <c r="AC19" s="8">
        <v>-22.319179689999999</v>
      </c>
      <c r="AD19" s="8">
        <v>-20.05861646</v>
      </c>
      <c r="AE19" s="8">
        <v>-23.721098949999998</v>
      </c>
      <c r="AF19" s="8">
        <v>-4.9040871400000006</v>
      </c>
      <c r="AG19" s="8">
        <v>-16.086163970000001</v>
      </c>
      <c r="AH19" s="8">
        <v>-20.604219349999997</v>
      </c>
      <c r="AI19" s="8">
        <v>-24.01398945</v>
      </c>
      <c r="AJ19" s="8">
        <f>27.5181410060612-AJ42</f>
        <v>-25.436300393938801</v>
      </c>
      <c r="AK19" s="8">
        <f>+-79.2784275638755-AK42</f>
        <v>-74.396957033875495</v>
      </c>
      <c r="AL19" s="8">
        <f>+-21.3957580661245-AL42</f>
        <v>-18.134583996124501</v>
      </c>
      <c r="AM19" s="8">
        <f>+-202.394526473331-AM42</f>
        <v>-193.42158571333101</v>
      </c>
      <c r="AN19" s="8">
        <f>18.0765510950566-AN42</f>
        <v>15.886317095056601</v>
      </c>
      <c r="AO19" s="8">
        <f>+-6.38948016242481-AO42</f>
        <v>-13.82311758242481</v>
      </c>
      <c r="AP19" s="8">
        <v>-13.464414997421038</v>
      </c>
    </row>
    <row r="20" spans="1:44" ht="5.25" customHeight="1">
      <c r="A20" s="1">
        <v>15</v>
      </c>
      <c r="E20" s="39"/>
    </row>
    <row r="21" spans="1:44">
      <c r="A21" s="1">
        <v>16</v>
      </c>
      <c r="B21" s="3" t="s">
        <v>89</v>
      </c>
      <c r="C21" s="10">
        <f t="shared" si="0"/>
        <v>37.339180980840787</v>
      </c>
      <c r="D21" s="10">
        <f t="shared" si="1"/>
        <v>41.107135225468113</v>
      </c>
      <c r="E21" s="51" t="s">
        <v>50</v>
      </c>
      <c r="H21" s="3" t="s">
        <v>89</v>
      </c>
      <c r="I21" s="17">
        <v>51.536401250000011</v>
      </c>
      <c r="J21" s="17">
        <v>71.575583770000009</v>
      </c>
      <c r="K21" s="17">
        <v>18.204375799999987</v>
      </c>
      <c r="L21" s="17">
        <v>-81.287743809999995</v>
      </c>
      <c r="M21" s="17">
        <v>6.9694774900000382</v>
      </c>
      <c r="N21" s="17">
        <v>50.099561220000048</v>
      </c>
      <c r="O21" s="17">
        <v>75.71629907999997</v>
      </c>
      <c r="P21" s="17">
        <v>67.646938100000014</v>
      </c>
      <c r="Q21" s="17">
        <v>68.193468420000002</v>
      </c>
      <c r="R21" s="17">
        <v>52.127087689999961</v>
      </c>
      <c r="S21" s="17">
        <v>30.330783369999999</v>
      </c>
      <c r="T21" s="17">
        <v>46.664837869999964</v>
      </c>
      <c r="U21" s="17">
        <f>+U17+U19</f>
        <v>52.731249969999951</v>
      </c>
      <c r="V21" s="17">
        <f t="shared" ref="V21:AB21" si="5">+V17+V19</f>
        <v>79.445128930000024</v>
      </c>
      <c r="W21" s="17">
        <f t="shared" si="5"/>
        <v>70.00171270999995</v>
      </c>
      <c r="X21" s="17">
        <f t="shared" si="5"/>
        <v>73.361478960000056</v>
      </c>
      <c r="Y21" s="17">
        <f t="shared" si="5"/>
        <v>65.876825310000044</v>
      </c>
      <c r="Z21" s="17">
        <f t="shared" si="5"/>
        <v>48.131741559999966</v>
      </c>
      <c r="AA21" s="17">
        <f t="shared" si="5"/>
        <v>59.815981430000029</v>
      </c>
      <c r="AB21" s="17">
        <f t="shared" si="5"/>
        <v>61.206926499999994</v>
      </c>
      <c r="AC21" s="17">
        <f>+AC17+AC19</f>
        <v>61.372555550000001</v>
      </c>
      <c r="AD21" s="17">
        <f t="shared" ref="AD21:AG21" si="6">+AD17+AD19</f>
        <v>61.205108160000037</v>
      </c>
      <c r="AE21" s="17">
        <f t="shared" si="6"/>
        <v>63.603551690000003</v>
      </c>
      <c r="AF21" s="17">
        <f t="shared" si="6"/>
        <v>16.889084191313714</v>
      </c>
      <c r="AG21" s="17">
        <f t="shared" si="6"/>
        <v>47.022925539999996</v>
      </c>
      <c r="AH21" s="17">
        <f>+AH17+AH19</f>
        <v>58.716749100000001</v>
      </c>
      <c r="AI21" s="17">
        <f>62.20715213-AI46</f>
        <v>64.605734240000004</v>
      </c>
      <c r="AJ21" s="17">
        <f t="shared" ref="AJ21" si="7">+AJ17+AJ19</f>
        <v>66.30024252699377</v>
      </c>
      <c r="AK21" s="17">
        <f>+-41.2161135274282-AK44</f>
        <v>-36.529066297428194</v>
      </c>
      <c r="AL21" s="17">
        <f>32.8849414708408-AL44</f>
        <v>37.339180980840787</v>
      </c>
      <c r="AM21" s="17">
        <f>600.900945330946-AM44</f>
        <v>607.47271630094599</v>
      </c>
      <c r="AN21" s="17">
        <f>+-52.3878315885635-AN44</f>
        <v>-57.883245058563475</v>
      </c>
      <c r="AO21" s="17">
        <f>55.8799637719585-AO44</f>
        <v>38.970163021958498</v>
      </c>
      <c r="AP21" s="17">
        <v>41.107135225468113</v>
      </c>
      <c r="AR21" s="88"/>
    </row>
    <row r="22" spans="1:44" ht="5.25" customHeight="1">
      <c r="A22" s="1">
        <v>17</v>
      </c>
      <c r="E22" s="39"/>
      <c r="AQ22" s="88"/>
    </row>
    <row r="23" spans="1:44">
      <c r="A23" s="1">
        <v>18</v>
      </c>
      <c r="B23" s="5" t="s">
        <v>90</v>
      </c>
      <c r="C23" s="8">
        <f t="shared" si="0"/>
        <v>35.09246243742836</v>
      </c>
      <c r="D23" s="8">
        <f t="shared" si="1"/>
        <v>37.706606395468278</v>
      </c>
      <c r="E23" s="49" t="s">
        <v>50</v>
      </c>
      <c r="H23" s="5" t="s">
        <v>90</v>
      </c>
      <c r="I23" s="8">
        <v>51.536401250000011</v>
      </c>
      <c r="J23" s="8">
        <v>71.575583770000009</v>
      </c>
      <c r="K23" s="8">
        <v>18.204375799999987</v>
      </c>
      <c r="L23" s="8">
        <v>-81.287743809999995</v>
      </c>
      <c r="M23" s="8">
        <v>6.9694774900000382</v>
      </c>
      <c r="N23" s="8">
        <v>50.099561220000048</v>
      </c>
      <c r="O23" s="8">
        <v>75.71629907999997</v>
      </c>
      <c r="P23" s="8">
        <v>71.02076169</v>
      </c>
      <c r="Q23" s="8">
        <v>72.197047319999996</v>
      </c>
      <c r="R23" s="8">
        <v>51.513318689999998</v>
      </c>
      <c r="S23" s="8">
        <v>29.363564220000001</v>
      </c>
      <c r="T23" s="8">
        <v>48.355100460000003</v>
      </c>
      <c r="U23" s="8">
        <v>56.902500880000005</v>
      </c>
      <c r="V23" s="8">
        <v>67.315819309999995</v>
      </c>
      <c r="W23" s="8">
        <v>70.133168250000011</v>
      </c>
      <c r="X23" s="8">
        <v>76.633404929999998</v>
      </c>
      <c r="Y23" s="8">
        <v>65.157573959999993</v>
      </c>
      <c r="Z23" s="8">
        <v>46.496960739999999</v>
      </c>
      <c r="AA23" s="8">
        <v>56.817234620000008</v>
      </c>
      <c r="AB23" s="8">
        <v>71.850721269999994</v>
      </c>
      <c r="AC23" s="8">
        <v>64.403329459999995</v>
      </c>
      <c r="AD23" s="8">
        <v>61.31662017</v>
      </c>
      <c r="AE23" s="8">
        <v>59.087229970000003</v>
      </c>
      <c r="AF23" s="8">
        <v>18.238692839152353</v>
      </c>
      <c r="AG23" s="8">
        <v>43.699793619999994</v>
      </c>
      <c r="AH23" s="8">
        <v>54.130137500000004</v>
      </c>
      <c r="AI23" s="8">
        <f>64.60573424-AI46</f>
        <v>67.004316350000011</v>
      </c>
      <c r="AJ23" s="8">
        <f>0.457418776993812-AJ46</f>
        <v>66.338387155693781</v>
      </c>
      <c r="AK23" s="8">
        <v>-38.892376677428295</v>
      </c>
      <c r="AL23" s="8">
        <v>35.09246243742836</v>
      </c>
      <c r="AM23" s="8">
        <v>604.15234692999991</v>
      </c>
      <c r="AN23" s="8">
        <f>+AN21-AN46</f>
        <v>-60.547201808563479</v>
      </c>
      <c r="AO23" s="8">
        <v>47.626031201958433</v>
      </c>
      <c r="AP23" s="8">
        <v>37.706606395468278</v>
      </c>
    </row>
    <row r="24" spans="1:44">
      <c r="AG24" s="48"/>
    </row>
    <row r="26" spans="1:44">
      <c r="U26" s="33"/>
      <c r="V26" s="33"/>
      <c r="W26" s="33"/>
      <c r="X26" s="33"/>
      <c r="Y26" s="33"/>
      <c r="Z26" s="33"/>
      <c r="AA26" s="33"/>
      <c r="AB26" s="33"/>
      <c r="AC26" s="33"/>
      <c r="AD26" s="33"/>
      <c r="AE26" s="33"/>
      <c r="AF26" s="33"/>
      <c r="AG26" s="33"/>
      <c r="AH26" s="33"/>
      <c r="AI26" s="33"/>
      <c r="AJ26" s="33"/>
      <c r="AK26" s="33"/>
      <c r="AL26" s="33"/>
      <c r="AM26" s="33"/>
      <c r="AN26" s="33"/>
      <c r="AO26" s="33"/>
    </row>
    <row r="28" spans="1:44" ht="23.25">
      <c r="B28" s="12" t="s">
        <v>57</v>
      </c>
      <c r="C28" s="13"/>
      <c r="D28" s="13"/>
      <c r="E28" s="13"/>
      <c r="H28" s="12" t="s">
        <v>57</v>
      </c>
      <c r="I28" s="13"/>
      <c r="J28" s="13"/>
      <c r="K28" s="13"/>
      <c r="L28" s="13"/>
      <c r="M28" s="13"/>
      <c r="N28" s="13"/>
      <c r="O28" s="13"/>
      <c r="P28" s="13"/>
      <c r="Q28" s="13"/>
      <c r="R28" s="13"/>
      <c r="S28" s="13"/>
      <c r="T28" s="13"/>
      <c r="U28" s="13"/>
      <c r="V28" s="13"/>
      <c r="W28" s="13"/>
      <c r="X28" s="13"/>
      <c r="Y28" s="13"/>
      <c r="Z28" s="13"/>
      <c r="AA28" s="13"/>
      <c r="AB28" s="13"/>
      <c r="AC28" s="13"/>
      <c r="AD28" s="13"/>
      <c r="AE28" s="13"/>
      <c r="AF28" s="13"/>
      <c r="AG28" s="13"/>
      <c r="AH28" s="13"/>
      <c r="AI28" s="13"/>
      <c r="AJ28" s="13"/>
      <c r="AK28" s="13"/>
      <c r="AL28" s="13"/>
      <c r="AM28" s="13"/>
      <c r="AN28" s="13"/>
      <c r="AO28" s="13"/>
      <c r="AP28" s="13"/>
    </row>
    <row r="29" spans="1:44" ht="5.25" customHeight="1"/>
    <row r="30" spans="1:44" ht="15.75" customHeight="1">
      <c r="A30" s="1">
        <v>1</v>
      </c>
      <c r="B30" s="3" t="s">
        <v>110</v>
      </c>
      <c r="C30" s="117" t="s">
        <v>34</v>
      </c>
      <c r="D30" s="117" t="s">
        <v>148</v>
      </c>
      <c r="E30" s="117" t="s">
        <v>4</v>
      </c>
      <c r="H30" s="3" t="s">
        <v>110</v>
      </c>
      <c r="I30" s="117" t="s">
        <v>6</v>
      </c>
      <c r="J30" s="117" t="s">
        <v>7</v>
      </c>
      <c r="K30" s="117" t="s">
        <v>8</v>
      </c>
      <c r="L30" s="117" t="s">
        <v>9</v>
      </c>
      <c r="M30" s="117" t="s">
        <v>10</v>
      </c>
      <c r="N30" s="117" t="s">
        <v>11</v>
      </c>
      <c r="O30" s="117" t="s">
        <v>12</v>
      </c>
      <c r="P30" s="117" t="s">
        <v>13</v>
      </c>
      <c r="Q30" s="117" t="s">
        <v>14</v>
      </c>
      <c r="R30" s="117" t="s">
        <v>15</v>
      </c>
      <c r="S30" s="117" t="s">
        <v>16</v>
      </c>
      <c r="T30" s="117" t="s">
        <v>17</v>
      </c>
      <c r="U30" s="117" t="s">
        <v>18</v>
      </c>
      <c r="V30" s="117" t="s">
        <v>19</v>
      </c>
      <c r="W30" s="117" t="s">
        <v>20</v>
      </c>
      <c r="X30" s="117" t="s">
        <v>21</v>
      </c>
      <c r="Y30" s="117" t="s">
        <v>22</v>
      </c>
      <c r="Z30" s="117" t="s">
        <v>23</v>
      </c>
      <c r="AA30" s="117" t="s">
        <v>24</v>
      </c>
      <c r="AB30" s="117" t="s">
        <v>25</v>
      </c>
      <c r="AC30" s="117" t="s">
        <v>26</v>
      </c>
      <c r="AD30" s="117" t="s">
        <v>27</v>
      </c>
      <c r="AE30" s="117" t="s">
        <v>28</v>
      </c>
      <c r="AF30" s="117" t="s">
        <v>29</v>
      </c>
      <c r="AG30" s="117" t="s">
        <v>30</v>
      </c>
      <c r="AH30" s="117" t="s">
        <v>31</v>
      </c>
      <c r="AI30" s="117" t="s">
        <v>32</v>
      </c>
      <c r="AJ30" s="117" t="s">
        <v>33</v>
      </c>
      <c r="AK30" s="117" t="s">
        <v>2</v>
      </c>
      <c r="AL30" s="117" t="s">
        <v>34</v>
      </c>
      <c r="AM30" s="117" t="s">
        <v>35</v>
      </c>
      <c r="AN30" s="117" t="s">
        <v>36</v>
      </c>
      <c r="AO30" s="117" t="s">
        <v>3</v>
      </c>
      <c r="AP30" s="117" t="s">
        <v>148</v>
      </c>
    </row>
    <row r="31" spans="1:44">
      <c r="A31" s="1">
        <v>2</v>
      </c>
      <c r="B31" s="3" t="s">
        <v>64</v>
      </c>
      <c r="C31" s="117"/>
      <c r="D31" s="117"/>
      <c r="E31" s="117"/>
      <c r="H31" s="3" t="s">
        <v>64</v>
      </c>
      <c r="I31" s="117"/>
      <c r="J31" s="117"/>
      <c r="K31" s="117"/>
      <c r="L31" s="117"/>
      <c r="M31" s="117"/>
      <c r="N31" s="117"/>
      <c r="O31" s="117"/>
      <c r="P31" s="117"/>
      <c r="Q31" s="117"/>
      <c r="R31" s="117"/>
      <c r="S31" s="117"/>
      <c r="T31" s="117"/>
      <c r="U31" s="117"/>
      <c r="V31" s="117"/>
      <c r="W31" s="117"/>
      <c r="X31" s="117"/>
      <c r="Y31" s="117"/>
      <c r="Z31" s="117"/>
      <c r="AA31" s="117"/>
      <c r="AB31" s="117"/>
      <c r="AC31" s="117"/>
      <c r="AD31" s="117"/>
      <c r="AE31" s="117"/>
      <c r="AF31" s="117"/>
      <c r="AG31" s="117"/>
      <c r="AH31" s="117"/>
      <c r="AI31" s="117"/>
      <c r="AJ31" s="117"/>
      <c r="AK31" s="117"/>
      <c r="AL31" s="117"/>
      <c r="AM31" s="117"/>
      <c r="AN31" s="117"/>
      <c r="AO31" s="117"/>
      <c r="AP31" s="117"/>
    </row>
    <row r="32" spans="1:44" ht="5.25" customHeight="1">
      <c r="A32" s="1">
        <v>3</v>
      </c>
    </row>
    <row r="33" spans="1:46">
      <c r="A33" s="1">
        <v>4</v>
      </c>
      <c r="B33" s="5" t="s">
        <v>81</v>
      </c>
      <c r="C33" s="8">
        <f>+HLOOKUP($C$30,$H$30:$AT$46,A33,FALSE)</f>
        <v>5.4609320000000031E-2</v>
      </c>
      <c r="D33" s="8">
        <f>+HLOOKUP($D$30,$H$30:$AT$46,A33,FALSE)</f>
        <v>-0.26474429999999999</v>
      </c>
      <c r="E33" s="36">
        <f>+D33/C33-1</f>
        <v>-5.8479691744925564</v>
      </c>
      <c r="H33" s="5" t="s">
        <v>81</v>
      </c>
      <c r="I33" s="18"/>
      <c r="J33" s="18"/>
      <c r="K33" s="18"/>
      <c r="L33" s="18"/>
      <c r="M33" s="18"/>
      <c r="N33" s="18"/>
      <c r="O33" s="18"/>
      <c r="P33" s="18"/>
      <c r="Q33" s="8">
        <v>0.16734481000000001</v>
      </c>
      <c r="R33" s="8">
        <v>0.10720837999999999</v>
      </c>
      <c r="S33" s="8">
        <v>0.13487674000000002</v>
      </c>
      <c r="T33" s="8">
        <v>0.16597401000000001</v>
      </c>
      <c r="U33" s="8">
        <v>0.12006236000000001</v>
      </c>
      <c r="V33" s="8">
        <v>0.15038306000000001</v>
      </c>
      <c r="W33" s="8">
        <v>0.15893979</v>
      </c>
      <c r="X33" s="8">
        <v>0.20325471000000001</v>
      </c>
      <c r="Y33" s="8">
        <v>0.22173541999999999</v>
      </c>
      <c r="Z33" s="8">
        <v>0.21593708</v>
      </c>
      <c r="AA33" s="8">
        <v>0.29301841000000001</v>
      </c>
      <c r="AB33" s="8">
        <v>0.3</v>
      </c>
      <c r="AC33" s="8">
        <v>0.14140221000000003</v>
      </c>
      <c r="AD33" s="8">
        <v>7.2432910000000003E-2</v>
      </c>
      <c r="AE33" s="8">
        <v>0.10292943000000002</v>
      </c>
      <c r="AF33" s="8">
        <v>0.29090677999999998</v>
      </c>
      <c r="AG33" s="8">
        <v>0.13774836000000001</v>
      </c>
      <c r="AH33" s="8">
        <v>0.12062782000000001</v>
      </c>
      <c r="AI33" s="8">
        <v>0.30203630999999997</v>
      </c>
      <c r="AJ33" s="8">
        <v>0.15692397000000002</v>
      </c>
      <c r="AK33" s="8">
        <v>5.6700750000000001E-2</v>
      </c>
      <c r="AL33" s="8">
        <v>5.4609320000000031E-2</v>
      </c>
      <c r="AM33" s="8">
        <v>2.9457709999999984E-2</v>
      </c>
      <c r="AN33" s="8">
        <v>4.4933090000000009E-2</v>
      </c>
      <c r="AO33" s="8">
        <v>8.7136889999999995E-2</v>
      </c>
      <c r="AP33" s="8">
        <v>-0.26474429999999999</v>
      </c>
    </row>
    <row r="34" spans="1:46">
      <c r="A34" s="1">
        <v>5</v>
      </c>
      <c r="B34" s="5" t="s">
        <v>82</v>
      </c>
      <c r="C34" s="8">
        <f>+HLOOKUP($C$30,$H$30:$AT$46,A34,FALSE)</f>
        <v>-6.2193137600000012</v>
      </c>
      <c r="D34" s="8">
        <f>+HLOOKUP($D$30,$H$30:$AT$46,A34,FALSE)</f>
        <v>-5.8283171299999994</v>
      </c>
      <c r="E34" s="36">
        <f t="shared" ref="E34:E38" si="8">+D34/C34-1</f>
        <v>-6.2868130647263154E-2</v>
      </c>
      <c r="H34" s="5" t="s">
        <v>82</v>
      </c>
      <c r="I34" s="18"/>
      <c r="J34" s="18"/>
      <c r="K34" s="18"/>
      <c r="L34" s="18"/>
      <c r="M34" s="18"/>
      <c r="N34" s="18"/>
      <c r="O34" s="18"/>
      <c r="P34" s="18"/>
      <c r="Q34" s="8">
        <v>-5.4290698400000004</v>
      </c>
      <c r="R34" s="8">
        <v>-2.6430212500000003</v>
      </c>
      <c r="S34" s="8">
        <v>-3.1599592999999997</v>
      </c>
      <c r="T34" s="8">
        <v>-3.4266343500000005</v>
      </c>
      <c r="U34" s="8">
        <v>-3.1524754499999998</v>
      </c>
      <c r="V34" s="8">
        <v>-3.23840606</v>
      </c>
      <c r="W34" s="8">
        <v>-3.7317871299999998</v>
      </c>
      <c r="X34" s="8">
        <v>-4.6476371400000005</v>
      </c>
      <c r="Y34" s="8">
        <v>-4.4800314999999999</v>
      </c>
      <c r="Z34" s="8">
        <v>-4.6873543600000005</v>
      </c>
      <c r="AA34" s="8">
        <v>-4.5787013100000005</v>
      </c>
      <c r="AB34" s="8">
        <v>-4.5999999999999996</v>
      </c>
      <c r="AC34" s="8">
        <v>-4.5996143200000006</v>
      </c>
      <c r="AD34" s="8">
        <v>-8.8851827300000004</v>
      </c>
      <c r="AE34" s="8">
        <v>-7.0326609199999996</v>
      </c>
      <c r="AF34" s="8">
        <v>-6.6142838900000003</v>
      </c>
      <c r="AG34" s="8">
        <v>-6.8489455400000008</v>
      </c>
      <c r="AH34" s="8">
        <v>-6.6069460400000004</v>
      </c>
      <c r="AI34" s="8">
        <v>-6.9407399600000002</v>
      </c>
      <c r="AJ34" s="8">
        <v>-6.4448288399999996</v>
      </c>
      <c r="AK34" s="8">
        <v>-6.62607137</v>
      </c>
      <c r="AL34" s="8">
        <v>-6.2193137600000012</v>
      </c>
      <c r="AM34" s="8">
        <v>-6.6041082399999977</v>
      </c>
      <c r="AN34" s="8">
        <v>-6.0329441700000013</v>
      </c>
      <c r="AO34" s="8">
        <v>-6.2768358500000003</v>
      </c>
      <c r="AP34" s="8">
        <v>-5.8283171299999994</v>
      </c>
      <c r="AT34" s="53"/>
    </row>
    <row r="35" spans="1:46">
      <c r="A35" s="1">
        <v>6</v>
      </c>
      <c r="B35" s="5" t="s">
        <v>83</v>
      </c>
      <c r="C35" s="8">
        <f>+HLOOKUP($C$30,$H$30:$AT$46,A35,FALSE)</f>
        <v>-0.36018585000000042</v>
      </c>
      <c r="D35" s="8">
        <f>+HLOOKUP($D$30,$H$30:$AT$46,A35,FALSE)</f>
        <v>-0.93457182999999999</v>
      </c>
      <c r="E35" s="49">
        <f t="shared" si="8"/>
        <v>1.5946933506688254</v>
      </c>
      <c r="H35" s="5" t="s">
        <v>83</v>
      </c>
      <c r="I35" s="18"/>
      <c r="J35" s="18"/>
      <c r="K35" s="18"/>
      <c r="L35" s="18"/>
      <c r="M35" s="18"/>
      <c r="N35" s="18"/>
      <c r="O35" s="18"/>
      <c r="P35" s="18"/>
      <c r="Q35" s="8">
        <v>1.37017937</v>
      </c>
      <c r="R35" s="8">
        <v>5.1786280000000143E-2</v>
      </c>
      <c r="S35" s="8">
        <v>-0.63739566000000003</v>
      </c>
      <c r="T35" s="8">
        <v>0.54193233000000018</v>
      </c>
      <c r="U35" s="8">
        <v>1.7152532300000001</v>
      </c>
      <c r="V35" s="8">
        <v>-0.15405724000000004</v>
      </c>
      <c r="W35" s="8">
        <v>-4.9148570000000009E-2</v>
      </c>
      <c r="X35" s="8">
        <v>0.7605646800000001</v>
      </c>
      <c r="Y35" s="8">
        <v>-0.19138833000000002</v>
      </c>
      <c r="Z35" s="8">
        <v>-0.64872458000000011</v>
      </c>
      <c r="AA35" s="8">
        <v>-0.36723388000000001</v>
      </c>
      <c r="AB35" s="8">
        <v>-0.7</v>
      </c>
      <c r="AC35" s="8">
        <v>0.74991217999999993</v>
      </c>
      <c r="AD35" s="8">
        <v>0.29622432000000004</v>
      </c>
      <c r="AE35" s="8">
        <v>-1.03815916</v>
      </c>
      <c r="AF35" s="8">
        <v>0.91169089000000003</v>
      </c>
      <c r="AG35" s="8">
        <v>-1.33876522</v>
      </c>
      <c r="AH35" s="8">
        <v>-1.4948663100000001</v>
      </c>
      <c r="AI35" s="8">
        <v>-0.18466715999999991</v>
      </c>
      <c r="AJ35" s="8">
        <v>-0.18658278000000017</v>
      </c>
      <c r="AK35" s="8">
        <v>-1.01300134</v>
      </c>
      <c r="AL35" s="8">
        <v>-0.36018585000000042</v>
      </c>
      <c r="AM35" s="8">
        <v>-1.5289263600000003</v>
      </c>
      <c r="AN35" s="8">
        <v>1.2431431700000002</v>
      </c>
      <c r="AO35" s="8">
        <v>1.18526</v>
      </c>
      <c r="AP35" s="8">
        <v>-0.93457182999999999</v>
      </c>
      <c r="AT35" s="53"/>
    </row>
    <row r="36" spans="1:46">
      <c r="A36" s="1">
        <v>7</v>
      </c>
      <c r="B36" s="5" t="s">
        <v>85</v>
      </c>
      <c r="C36" s="8">
        <f>+HLOOKUP($C$30,$H$30:$AT$46,A36,FALSE)</f>
        <v>-0.33867450999999976</v>
      </c>
      <c r="D36" s="8">
        <f>+HLOOKUP($D$30,$H$30:$AT$46,A36,FALSE)</f>
        <v>-2.5424426100000002</v>
      </c>
      <c r="E36" s="49">
        <f t="shared" si="8"/>
        <v>6.5070385722267732</v>
      </c>
      <c r="H36" s="5" t="s">
        <v>85</v>
      </c>
      <c r="I36" s="18"/>
      <c r="J36" s="18"/>
      <c r="K36" s="18"/>
      <c r="L36" s="18"/>
      <c r="M36" s="18"/>
      <c r="N36" s="18"/>
      <c r="O36" s="18"/>
      <c r="P36" s="18"/>
      <c r="Q36" s="8">
        <v>8.1903610000000002E-2</v>
      </c>
      <c r="R36" s="8">
        <v>-0.66449632999999997</v>
      </c>
      <c r="S36" s="8">
        <v>-0.93240374000000004</v>
      </c>
      <c r="T36" s="8">
        <v>-2.4909673299999997</v>
      </c>
      <c r="U36" s="8">
        <v>-9.0029509999999993E-2</v>
      </c>
      <c r="V36" s="8">
        <v>-0.27538590000000007</v>
      </c>
      <c r="W36" s="8">
        <v>-0.86470300999999994</v>
      </c>
      <c r="X36" s="8">
        <v>1.29653671</v>
      </c>
      <c r="Y36" s="8">
        <v>-1.9960490000000004E-2</v>
      </c>
      <c r="Z36" s="8">
        <v>-0.42020362000000006</v>
      </c>
      <c r="AA36" s="8">
        <v>-0.77467500999999994</v>
      </c>
      <c r="AB36" s="8">
        <v>-0.3</v>
      </c>
      <c r="AC36" s="8">
        <v>1.4406092899999998</v>
      </c>
      <c r="AD36" s="8">
        <v>-0.87173263000000001</v>
      </c>
      <c r="AE36" s="8">
        <v>-2.2558826700000001</v>
      </c>
      <c r="AF36" s="8">
        <v>-1.4757564699999999</v>
      </c>
      <c r="AG36" s="8">
        <v>-1.0997716499999999</v>
      </c>
      <c r="AH36" s="8">
        <v>-1.2178332700000001</v>
      </c>
      <c r="AI36" s="8">
        <v>0.32024835999999812</v>
      </c>
      <c r="AJ36" s="8">
        <v>-180.23959754999998</v>
      </c>
      <c r="AK36" s="8">
        <v>-0.2058789</v>
      </c>
      <c r="AL36" s="8">
        <v>-0.33867450999999976</v>
      </c>
      <c r="AM36" s="8">
        <v>-0.57771620000000001</v>
      </c>
      <c r="AN36" s="8">
        <v>-1.2943995699999997</v>
      </c>
      <c r="AO36" s="8">
        <v>-1.59591174</v>
      </c>
      <c r="AP36" s="8">
        <v>-2.5424426100000002</v>
      </c>
      <c r="AT36" s="48"/>
    </row>
    <row r="37" spans="1:46" ht="5.25" customHeight="1">
      <c r="A37" s="1">
        <v>8</v>
      </c>
      <c r="E37" s="85"/>
      <c r="S37" s="15"/>
    </row>
    <row r="38" spans="1:46">
      <c r="A38" s="1">
        <v>9</v>
      </c>
      <c r="B38" s="6" t="s">
        <v>86</v>
      </c>
      <c r="C38" s="9">
        <f>+HLOOKUP($C$30,$H$30:$AT$46,A38,FALSE)</f>
        <v>-6.8635648000000016</v>
      </c>
      <c r="D38" s="9">
        <f>+HLOOKUP($D$30,$H$30:$AT$46,A38,FALSE)</f>
        <v>-9.5700758700000002</v>
      </c>
      <c r="E38" s="90">
        <f t="shared" si="8"/>
        <v>0.39433022763914138</v>
      </c>
      <c r="H38" s="6" t="s">
        <v>86</v>
      </c>
      <c r="I38" s="19"/>
      <c r="J38" s="19"/>
      <c r="K38" s="19"/>
      <c r="L38" s="19"/>
      <c r="M38" s="19"/>
      <c r="N38" s="19"/>
      <c r="O38" s="19"/>
      <c r="P38" s="19"/>
      <c r="Q38" s="9">
        <v>-3.8096420500000003</v>
      </c>
      <c r="R38" s="9">
        <v>-3.1485229200000004</v>
      </c>
      <c r="S38" s="9">
        <v>-4.5948819599999995</v>
      </c>
      <c r="T38" s="9">
        <v>-5.2096953399999997</v>
      </c>
      <c r="U38" s="9">
        <v>-1.4071893699999998</v>
      </c>
      <c r="V38" s="9">
        <v>-3.5174661399999998</v>
      </c>
      <c r="W38" s="9">
        <v>-4.4866989200000003</v>
      </c>
      <c r="X38" s="9">
        <v>-2.3872810400000004</v>
      </c>
      <c r="Y38" s="9">
        <f>SUM(Y33:Y36)</f>
        <v>-4.4696448999999996</v>
      </c>
      <c r="Z38" s="9">
        <f>SUM(Z33:Z36)</f>
        <v>-5.54034548</v>
      </c>
      <c r="AA38" s="9">
        <f>SUM(AA33:AA36)</f>
        <v>-5.4275917900000001</v>
      </c>
      <c r="AB38" s="9">
        <f>+SUM(AB33:AB36)</f>
        <v>-5.3</v>
      </c>
      <c r="AC38" s="9">
        <f>+SUM(AC33:AC36)</f>
        <v>-2.267690640000001</v>
      </c>
      <c r="AD38" s="9">
        <f t="shared" ref="AD38:AM38" si="9">+SUM(AD33:AD36)</f>
        <v>-9.3882581300000005</v>
      </c>
      <c r="AE38" s="9">
        <f t="shared" si="9"/>
        <v>-10.223773319999999</v>
      </c>
      <c r="AF38" s="9">
        <f t="shared" si="9"/>
        <v>-6.8874426900000003</v>
      </c>
      <c r="AG38" s="9">
        <f t="shared" si="9"/>
        <v>-9.1497340500000011</v>
      </c>
      <c r="AH38" s="9">
        <f t="shared" si="9"/>
        <v>-9.1990178</v>
      </c>
      <c r="AI38" s="9">
        <f t="shared" si="9"/>
        <v>-6.503122450000002</v>
      </c>
      <c r="AJ38" s="9">
        <f t="shared" si="9"/>
        <v>-186.71408519999997</v>
      </c>
      <c r="AK38" s="9">
        <f t="shared" si="9"/>
        <v>-7.7882508599999998</v>
      </c>
      <c r="AL38" s="9">
        <f t="shared" si="9"/>
        <v>-6.8635648000000016</v>
      </c>
      <c r="AM38" s="9">
        <f t="shared" si="9"/>
        <v>-8.6812930899999969</v>
      </c>
      <c r="AN38" s="9">
        <f>+SUM(AN33:AN36)</f>
        <v>-6.0392674800000012</v>
      </c>
      <c r="AO38" s="9">
        <f>+SUM(AO33:AO36)</f>
        <v>-6.6003506999999999</v>
      </c>
      <c r="AP38" s="9">
        <f>+SUM(AP33:AP36)</f>
        <v>-9.5700758700000002</v>
      </c>
    </row>
    <row r="39" spans="1:46" ht="5.25" customHeight="1">
      <c r="A39" s="1">
        <v>10</v>
      </c>
      <c r="E39" s="85"/>
      <c r="S39" s="15"/>
    </row>
    <row r="40" spans="1:46">
      <c r="A40" s="1">
        <v>11</v>
      </c>
      <c r="B40" s="6" t="s">
        <v>87</v>
      </c>
      <c r="C40" s="9">
        <f>+HLOOKUP($C$30,$H$30:$AT$46,A40,FALSE)</f>
        <v>-1.1930654399999883</v>
      </c>
      <c r="D40" s="9">
        <f>+HLOOKUP($D$30,$H$30:$AT$46,A40,FALSE)</f>
        <v>3.2966442299999859</v>
      </c>
      <c r="E40" s="61" t="s">
        <v>50</v>
      </c>
      <c r="H40" s="6" t="s">
        <v>87</v>
      </c>
      <c r="I40" s="19"/>
      <c r="J40" s="19"/>
      <c r="K40" s="19"/>
      <c r="L40" s="19"/>
      <c r="M40" s="19"/>
      <c r="N40" s="19"/>
      <c r="O40" s="19"/>
      <c r="P40" s="19"/>
      <c r="Q40" s="9">
        <v>4.9281214299999956</v>
      </c>
      <c r="R40" s="9">
        <v>-1.9760049700000009</v>
      </c>
      <c r="S40" s="16">
        <v>3.5452988599999982</v>
      </c>
      <c r="T40" s="9">
        <v>0.89048269000000602</v>
      </c>
      <c r="U40" s="9">
        <v>1.9710638200000044</v>
      </c>
      <c r="V40" s="9">
        <v>-0.63885456000000218</v>
      </c>
      <c r="W40" s="9">
        <v>1.1608619299999976</v>
      </c>
      <c r="X40" s="9">
        <v>7.0620773800000043</v>
      </c>
      <c r="Y40" s="9">
        <v>-2.6982926100000091</v>
      </c>
      <c r="Z40" s="9">
        <v>-1.4643349499999951</v>
      </c>
      <c r="AA40" s="9">
        <v>-6.3483848100000015</v>
      </c>
      <c r="AB40" s="9">
        <f>+'Operating Income'!D65+AB38</f>
        <v>7.5667201000000004</v>
      </c>
      <c r="AC40" s="9">
        <v>1.8706096800000052</v>
      </c>
      <c r="AD40" s="9">
        <v>-0.85428449999999678</v>
      </c>
      <c r="AE40" s="9">
        <v>-5.9965322100000034</v>
      </c>
      <c r="AF40" s="9">
        <v>0.20896997999999201</v>
      </c>
      <c r="AG40" s="9">
        <v>-0.71223130999999817</v>
      </c>
      <c r="AH40" s="9">
        <v>-7.15080925</v>
      </c>
      <c r="AI40" s="9">
        <v>-3.0297254700000034</v>
      </c>
      <c r="AJ40" s="9">
        <v>-182.13281076999996</v>
      </c>
      <c r="AK40" s="9">
        <v>0.19442329999999686</v>
      </c>
      <c r="AL40" s="9">
        <v>-1.1930654399999883</v>
      </c>
      <c r="AM40" s="9">
        <v>2.4011697900000097</v>
      </c>
      <c r="AN40" s="9">
        <v>3.3051794699999775</v>
      </c>
      <c r="AO40" s="9">
        <v>9.4761633300000003</v>
      </c>
      <c r="AP40" s="9">
        <v>3.2966442299999859</v>
      </c>
    </row>
    <row r="41" spans="1:46" ht="5.25" customHeight="1">
      <c r="A41" s="1">
        <v>12</v>
      </c>
      <c r="E41" s="39"/>
      <c r="S41" s="15"/>
    </row>
    <row r="42" spans="1:46">
      <c r="A42" s="1">
        <v>13</v>
      </c>
      <c r="B42" s="5" t="s">
        <v>88</v>
      </c>
      <c r="C42" s="8">
        <f>+HLOOKUP($C$30,$H$30:$AT$46,A42,FALSE)</f>
        <v>-3.2611740699999983</v>
      </c>
      <c r="D42" s="8">
        <f>+HLOOKUP($D$30,$H$30:$AT$46,A42,FALSE)</f>
        <v>-5.5621498699999998</v>
      </c>
      <c r="E42" s="36">
        <f t="shared" ref="E42:E44" si="10">+D42/C42-1</f>
        <v>0.70556669181415477</v>
      </c>
      <c r="H42" s="5" t="s">
        <v>88</v>
      </c>
      <c r="I42" s="18"/>
      <c r="J42" s="18"/>
      <c r="K42" s="18"/>
      <c r="L42" s="18"/>
      <c r="M42" s="18"/>
      <c r="N42" s="18"/>
      <c r="O42" s="18"/>
      <c r="P42" s="18"/>
      <c r="Q42" s="8">
        <v>2.9217945599999999</v>
      </c>
      <c r="R42" s="8">
        <v>1.28435225</v>
      </c>
      <c r="S42" s="8">
        <v>-5.4604279699999996</v>
      </c>
      <c r="T42" s="8">
        <v>1.2906353500000001</v>
      </c>
      <c r="U42" s="8">
        <v>5.8195076899999991</v>
      </c>
      <c r="V42" s="8">
        <v>-0.47814150999999994</v>
      </c>
      <c r="W42" s="8">
        <v>-0.95178185999999987</v>
      </c>
      <c r="X42" s="8">
        <v>-0.88224735999999992</v>
      </c>
      <c r="Y42" s="8">
        <v>1.2285207600000001</v>
      </c>
      <c r="Z42" s="8">
        <v>-1.9025937399999999</v>
      </c>
      <c r="AA42" s="8">
        <v>0.41217198999999999</v>
      </c>
      <c r="AB42" s="8">
        <v>-1.4</v>
      </c>
      <c r="AC42" s="8">
        <v>2.2914054600000004</v>
      </c>
      <c r="AD42" s="8">
        <v>1.02432743</v>
      </c>
      <c r="AE42" s="8">
        <v>-2.9144535899999999</v>
      </c>
      <c r="AF42" s="8">
        <v>2.3853569299999995</v>
      </c>
      <c r="AG42" s="8">
        <v>-5.8510186199999996</v>
      </c>
      <c r="AH42" s="8">
        <v>-1.8987026599999999</v>
      </c>
      <c r="AI42" s="8">
        <v>-1.8155251099999998</v>
      </c>
      <c r="AJ42" s="8">
        <v>52.9544414</v>
      </c>
      <c r="AK42" s="8">
        <v>-4.8814705299999996</v>
      </c>
      <c r="AL42" s="8">
        <v>-3.2611740699999983</v>
      </c>
      <c r="AM42" s="8">
        <v>-8.9729407600000002</v>
      </c>
      <c r="AN42" s="8">
        <v>2.1902339999999993</v>
      </c>
      <c r="AO42" s="8">
        <v>7.4336374200000002</v>
      </c>
      <c r="AP42" s="8">
        <v>-5.5621498699999998</v>
      </c>
    </row>
    <row r="43" spans="1:46" ht="5.25" customHeight="1">
      <c r="A43" s="1">
        <v>14</v>
      </c>
      <c r="E43" s="39"/>
      <c r="S43" s="15"/>
    </row>
    <row r="44" spans="1:46">
      <c r="A44" s="1">
        <v>15</v>
      </c>
      <c r="B44" s="3" t="s">
        <v>89</v>
      </c>
      <c r="C44" s="50">
        <f>+HLOOKUP($C$30,$H$30:$AT$46,A44,FALSE)</f>
        <v>-4.4542395099999865</v>
      </c>
      <c r="D44" s="50">
        <f>+HLOOKUP($D$30,$H$30:$AT$46,A44,FALSE)</f>
        <v>-2.2655056400000113</v>
      </c>
      <c r="E44" s="51">
        <f t="shared" si="10"/>
        <v>-0.49138216862522999</v>
      </c>
      <c r="H44" s="3" t="s">
        <v>89</v>
      </c>
      <c r="I44" s="10"/>
      <c r="J44" s="10"/>
      <c r="K44" s="10"/>
      <c r="L44" s="10"/>
      <c r="M44" s="10"/>
      <c r="N44" s="10"/>
      <c r="O44" s="10"/>
      <c r="P44" s="10"/>
      <c r="Q44" s="10">
        <v>7.5692857599999961</v>
      </c>
      <c r="R44" s="17">
        <v>-0.41102250000000096</v>
      </c>
      <c r="S44" s="17">
        <v>-1.4873732300000011</v>
      </c>
      <c r="T44" s="17">
        <v>1.7533981700000059</v>
      </c>
      <c r="U44" s="17">
        <v>7.790571510000003</v>
      </c>
      <c r="V44" s="17">
        <v>-1.1169960700000021</v>
      </c>
      <c r="W44" s="17">
        <v>0.20908006999999773</v>
      </c>
      <c r="X44" s="17">
        <v>6.1798300200000043</v>
      </c>
      <c r="Y44" s="17">
        <v>-1.4697718500000088</v>
      </c>
      <c r="Z44" s="17">
        <v>-3.3669286899999951</v>
      </c>
      <c r="AA44" s="17">
        <v>-5.9362128200000015</v>
      </c>
      <c r="AB44" s="17">
        <f>+AB40+AB42</f>
        <v>6.1667201000000009</v>
      </c>
      <c r="AC44" s="17">
        <f>+AC40+AC42</f>
        <v>4.1620151400000056</v>
      </c>
      <c r="AD44" s="17">
        <f t="shared" ref="AD44:AG44" si="11">+AD40+AD42</f>
        <v>0.17004293000000326</v>
      </c>
      <c r="AE44" s="17">
        <f t="shared" si="11"/>
        <v>-8.9109858000000024</v>
      </c>
      <c r="AF44" s="17">
        <f t="shared" si="11"/>
        <v>2.5943269099999915</v>
      </c>
      <c r="AG44" s="17">
        <f t="shared" si="11"/>
        <v>-6.5632499299999978</v>
      </c>
      <c r="AH44" s="17">
        <v>-9.0495119099999997</v>
      </c>
      <c r="AI44" s="17">
        <v>-4.8452505800000036</v>
      </c>
      <c r="AJ44" s="17">
        <f t="shared" ref="AJ44:AM44" si="12">+AJ40+AJ42</f>
        <v>-129.17836936999996</v>
      </c>
      <c r="AK44" s="17">
        <f t="shared" si="12"/>
        <v>-4.6870472300000028</v>
      </c>
      <c r="AL44" s="17">
        <f t="shared" si="12"/>
        <v>-4.4542395099999865</v>
      </c>
      <c r="AM44" s="17">
        <f t="shared" si="12"/>
        <v>-6.5717709699999904</v>
      </c>
      <c r="AN44" s="17">
        <v>5.4954134699999768</v>
      </c>
      <c r="AO44" s="17">
        <v>16.909800749999999</v>
      </c>
      <c r="AP44" s="17">
        <v>-2.2655056400000113</v>
      </c>
      <c r="AT44" s="48"/>
    </row>
    <row r="45" spans="1:46" ht="5.25" customHeight="1">
      <c r="A45" s="1">
        <v>16</v>
      </c>
      <c r="E45" s="39"/>
      <c r="S45" s="15"/>
    </row>
    <row r="46" spans="1:46">
      <c r="A46" s="1">
        <v>17</v>
      </c>
      <c r="B46" s="5" t="s">
        <v>90</v>
      </c>
      <c r="C46" s="8">
        <f>+HLOOKUP($C$30,$H$30:$AR$47,A46,FALSE)</f>
        <v>-2.1825773598999936</v>
      </c>
      <c r="D46" s="8">
        <f>+HLOOKUP($D$30,$H$30:$AT$46,A46,FALSE)</f>
        <v>-1.1304824500000121</v>
      </c>
      <c r="E46" s="49"/>
      <c r="H46" s="5" t="s">
        <v>90</v>
      </c>
      <c r="I46" s="18"/>
      <c r="J46" s="18"/>
      <c r="K46" s="18"/>
      <c r="L46" s="18"/>
      <c r="M46" s="18"/>
      <c r="N46" s="18"/>
      <c r="O46" s="18"/>
      <c r="P46" s="18"/>
      <c r="Q46" s="8">
        <f>+Q44*0.51</f>
        <v>3.860335737599998</v>
      </c>
      <c r="R46" s="8">
        <f t="shared" ref="R46:T46" si="13">+R44*0.51</f>
        <v>-0.2096214750000005</v>
      </c>
      <c r="S46" s="8">
        <f t="shared" si="13"/>
        <v>-0.75856034730000055</v>
      </c>
      <c r="T46" s="8">
        <f t="shared" si="13"/>
        <v>0.89423306670000302</v>
      </c>
      <c r="U46" s="8">
        <f>+U44-U47</f>
        <v>4.171250910000003</v>
      </c>
      <c r="V46" s="8">
        <f t="shared" ref="V46:AF46" si="14">+V44-V47</f>
        <v>-12.129309620000004</v>
      </c>
      <c r="W46" s="8">
        <f t="shared" si="14"/>
        <v>0.13145553999999782</v>
      </c>
      <c r="X46" s="8">
        <f t="shared" si="14"/>
        <v>3.2719259700000043</v>
      </c>
      <c r="Y46" s="8">
        <f t="shared" si="14"/>
        <v>-0.71925135000000906</v>
      </c>
      <c r="Z46" s="8">
        <f t="shared" si="14"/>
        <v>-1.6347808199999949</v>
      </c>
      <c r="AA46" s="8">
        <f t="shared" si="14"/>
        <v>-2.9987468100000014</v>
      </c>
      <c r="AB46" s="8">
        <f t="shared" si="14"/>
        <v>10.671191719999999</v>
      </c>
      <c r="AC46" s="8">
        <f t="shared" si="14"/>
        <v>3.0307739099999909</v>
      </c>
      <c r="AD46" s="8">
        <f t="shared" si="14"/>
        <v>0.11151201000000327</v>
      </c>
      <c r="AE46" s="8">
        <f t="shared" si="14"/>
        <v>-4.5163217200000023</v>
      </c>
      <c r="AF46" s="8">
        <f t="shared" si="14"/>
        <v>1.3496086499999913</v>
      </c>
      <c r="AG46" s="8">
        <f>+AG44-AG47</f>
        <v>-3.3231319199999976</v>
      </c>
      <c r="AH46" s="8">
        <f>+AH44-AH47</f>
        <v>-4.5866115999999995</v>
      </c>
      <c r="AI46" s="8">
        <v>-2.39858211</v>
      </c>
      <c r="AJ46" s="8">
        <f>+AJ44-AJ47</f>
        <v>-65.880968378699976</v>
      </c>
      <c r="AK46" s="8">
        <v>-2.32373685</v>
      </c>
      <c r="AL46" s="8">
        <f>+AL44*0.49</f>
        <v>-2.1825773598999936</v>
      </c>
      <c r="AM46" s="8">
        <v>-3.2498031899999997</v>
      </c>
      <c r="AN46" s="8">
        <v>2.663956750000001</v>
      </c>
      <c r="AO46" s="8">
        <v>8.2599789799999996</v>
      </c>
      <c r="AP46" s="8">
        <f>+AP44-AP47</f>
        <v>-1.1304824500000121</v>
      </c>
    </row>
    <row r="47" spans="1:46">
      <c r="A47" s="1">
        <v>18</v>
      </c>
      <c r="B47" s="5" t="s">
        <v>91</v>
      </c>
      <c r="C47" s="8">
        <f>+HLOOKUP($C$30,$H$30:$AR$47,A47,FALSE)</f>
        <v>-2.2716621500999929</v>
      </c>
      <c r="D47" s="8">
        <f>+HLOOKUP($D$30,$H$30:$AR$47,A47,FALSE)</f>
        <v>-1.1350231899999992</v>
      </c>
      <c r="E47" s="49"/>
      <c r="H47" s="5" t="s">
        <v>91</v>
      </c>
      <c r="I47" s="18"/>
      <c r="J47" s="18"/>
      <c r="K47" s="18"/>
      <c r="L47" s="18"/>
      <c r="M47" s="18"/>
      <c r="N47" s="18"/>
      <c r="O47" s="18"/>
      <c r="P47" s="18"/>
      <c r="Q47" s="8">
        <f>+Q44*0.49</f>
        <v>3.708950022399998</v>
      </c>
      <c r="R47" s="8">
        <f>+R44*0.49</f>
        <v>-0.20140102500000046</v>
      </c>
      <c r="S47" s="8">
        <f>+S44*0.49</f>
        <v>-0.72881288270000055</v>
      </c>
      <c r="T47" s="8">
        <f>+T44*0.49</f>
        <v>0.85916510330000284</v>
      </c>
      <c r="U47" s="8">
        <v>3.6193206</v>
      </c>
      <c r="V47" s="8">
        <v>11.012313550000002</v>
      </c>
      <c r="W47" s="8">
        <v>7.7624529999999914E-2</v>
      </c>
      <c r="X47" s="8">
        <v>2.90790405</v>
      </c>
      <c r="Y47" s="8">
        <v>-0.7505204999999997</v>
      </c>
      <c r="Z47" s="8">
        <v>-1.7321478700000001</v>
      </c>
      <c r="AA47" s="8">
        <v>-2.9374660100000001</v>
      </c>
      <c r="AB47" s="8">
        <v>-4.5044716199999995</v>
      </c>
      <c r="AC47" s="8">
        <v>1.1312412300000148</v>
      </c>
      <c r="AD47" s="8">
        <v>5.8530919999999986E-2</v>
      </c>
      <c r="AE47" s="8">
        <v>-4.3946640800000001</v>
      </c>
      <c r="AF47" s="8">
        <v>1.2447182600000002</v>
      </c>
      <c r="AG47" s="8">
        <v>-3.2401180100000002</v>
      </c>
      <c r="AH47" s="8">
        <v>-4.4629003100000002</v>
      </c>
      <c r="AI47" s="8">
        <f>+AI44-AI46</f>
        <v>-2.4466684700000036</v>
      </c>
      <c r="AJ47" s="8">
        <f>+AJ44*0.49</f>
        <v>-63.29740099129998</v>
      </c>
      <c r="AK47" s="8">
        <f>+AK44-AK46</f>
        <v>-2.3633103800000028</v>
      </c>
      <c r="AL47" s="8">
        <f>+AL44*0.51</f>
        <v>-2.2716621500999929</v>
      </c>
      <c r="AM47" s="8">
        <v>-3.3219677799999907</v>
      </c>
      <c r="AN47" s="8">
        <f>+AN44-AN46</f>
        <v>2.8314567199999758</v>
      </c>
      <c r="AO47" s="8">
        <f>+AO44-AO46</f>
        <v>8.6498217699999991</v>
      </c>
      <c r="AP47" s="8">
        <v>-1.1350231899999992</v>
      </c>
    </row>
    <row r="48" spans="1:46">
      <c r="U48" s="81"/>
      <c r="V48" s="81"/>
      <c r="W48" s="81"/>
      <c r="X48" s="81"/>
      <c r="Y48" s="81"/>
      <c r="Z48" s="81"/>
      <c r="AA48" s="81"/>
      <c r="AB48" s="81"/>
      <c r="AC48" s="81"/>
      <c r="AD48" s="81"/>
      <c r="AE48" s="81"/>
      <c r="AF48" s="81"/>
      <c r="AG48" s="81"/>
      <c r="AH48" s="81"/>
      <c r="AI48" s="81"/>
      <c r="AJ48" s="81"/>
      <c r="AK48" s="81"/>
      <c r="AL48" s="81"/>
      <c r="AM48" s="81"/>
      <c r="AN48" s="81"/>
      <c r="AO48" s="81"/>
    </row>
    <row r="49" spans="2:7" ht="183" customHeight="1">
      <c r="B49" s="120" t="s">
        <v>111</v>
      </c>
      <c r="C49" s="120"/>
      <c r="D49" s="120"/>
      <c r="E49" s="120"/>
    </row>
    <row r="54" spans="2:7">
      <c r="G54" s="54"/>
    </row>
  </sheetData>
  <mergeCells count="75">
    <mergeCell ref="AP6:AP7"/>
    <mergeCell ref="AP30:AP31"/>
    <mergeCell ref="Y6:Y7"/>
    <mergeCell ref="Y30:Y31"/>
    <mergeCell ref="AA6:AA7"/>
    <mergeCell ref="AA30:AA31"/>
    <mergeCell ref="AG6:AG7"/>
    <mergeCell ref="AG30:AG31"/>
    <mergeCell ref="AE30:AE31"/>
    <mergeCell ref="AD6:AD7"/>
    <mergeCell ref="AD30:AD31"/>
    <mergeCell ref="AF30:AF31"/>
    <mergeCell ref="AF6:AF7"/>
    <mergeCell ref="AE6:AE7"/>
    <mergeCell ref="AI6:AI7"/>
    <mergeCell ref="AN6:AN7"/>
    <mergeCell ref="AO6:AO7"/>
    <mergeCell ref="AO30:AO31"/>
    <mergeCell ref="V30:V31"/>
    <mergeCell ref="U30:U31"/>
    <mergeCell ref="V6:V7"/>
    <mergeCell ref="AC30:AC31"/>
    <mergeCell ref="AC6:AC7"/>
    <mergeCell ref="AB6:AB7"/>
    <mergeCell ref="AB30:AB31"/>
    <mergeCell ref="Z6:Z7"/>
    <mergeCell ref="Z30:Z31"/>
    <mergeCell ref="W6:W7"/>
    <mergeCell ref="W30:W31"/>
    <mergeCell ref="X6:X7"/>
    <mergeCell ref="B49:E49"/>
    <mergeCell ref="I30:I31"/>
    <mergeCell ref="J30:J31"/>
    <mergeCell ref="N30:N31"/>
    <mergeCell ref="C30:C31"/>
    <mergeCell ref="D30:D31"/>
    <mergeCell ref="E30:E31"/>
    <mergeCell ref="K30:K31"/>
    <mergeCell ref="L30:L31"/>
    <mergeCell ref="M30:M31"/>
    <mergeCell ref="J6:J7"/>
    <mergeCell ref="K6:K7"/>
    <mergeCell ref="L6:L7"/>
    <mergeCell ref="M6:M7"/>
    <mergeCell ref="C6:C7"/>
    <mergeCell ref="D6:D7"/>
    <mergeCell ref="E6:E7"/>
    <mergeCell ref="I6:I7"/>
    <mergeCell ref="P6:P7"/>
    <mergeCell ref="O6:O7"/>
    <mergeCell ref="S30:S31"/>
    <mergeCell ref="N6:N7"/>
    <mergeCell ref="R6:R7"/>
    <mergeCell ref="S6:S7"/>
    <mergeCell ref="O30:O31"/>
    <mergeCell ref="P30:P31"/>
    <mergeCell ref="Q30:Q31"/>
    <mergeCell ref="R30:R31"/>
    <mergeCell ref="Q6:Q7"/>
    <mergeCell ref="T6:T7"/>
    <mergeCell ref="AI30:AI31"/>
    <mergeCell ref="AH6:AH7"/>
    <mergeCell ref="AH30:AH31"/>
    <mergeCell ref="AJ6:AJ7"/>
    <mergeCell ref="AJ30:AJ31"/>
    <mergeCell ref="X30:X31"/>
    <mergeCell ref="T30:T31"/>
    <mergeCell ref="U6:U7"/>
    <mergeCell ref="AN30:AN31"/>
    <mergeCell ref="AL6:AL7"/>
    <mergeCell ref="AL30:AL31"/>
    <mergeCell ref="AK6:AK7"/>
    <mergeCell ref="AK30:AK31"/>
    <mergeCell ref="AM6:AM7"/>
    <mergeCell ref="AM30:AM31"/>
  </mergeCells>
  <phoneticPr fontId="14" type="noConversion"/>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4:AD49"/>
  <sheetViews>
    <sheetView topLeftCell="B1" zoomScale="90" zoomScaleNormal="90" workbookViewId="0">
      <selection activeCell="D44" sqref="D44"/>
    </sheetView>
  </sheetViews>
  <sheetFormatPr baseColWidth="10" defaultColWidth="11.42578125" defaultRowHeight="15"/>
  <cols>
    <col min="1" max="1" width="0" style="1" hidden="1" customWidth="1"/>
    <col min="2" max="2" width="51" style="1" customWidth="1"/>
    <col min="3" max="7" width="11.42578125" style="1"/>
    <col min="8" max="8" width="38.7109375" style="1" customWidth="1"/>
    <col min="9" max="24" width="11.42578125" style="1" customWidth="1"/>
    <col min="25" max="16384" width="11.42578125" style="1"/>
  </cols>
  <sheetData>
    <row r="4" spans="1:30" ht="23.25">
      <c r="B4" s="12" t="s">
        <v>0</v>
      </c>
      <c r="C4" s="13"/>
      <c r="D4" s="13"/>
      <c r="E4" s="13"/>
      <c r="H4" s="12" t="s">
        <v>0</v>
      </c>
      <c r="I4" s="13"/>
      <c r="J4" s="13"/>
      <c r="K4" s="13"/>
      <c r="L4" s="13"/>
      <c r="M4" s="13"/>
      <c r="N4" s="13"/>
      <c r="O4" s="13"/>
      <c r="P4" s="13"/>
      <c r="Q4" s="13"/>
      <c r="R4" s="13"/>
      <c r="S4" s="13"/>
      <c r="T4" s="13"/>
      <c r="U4" s="13"/>
      <c r="V4" s="13"/>
      <c r="W4" s="13"/>
      <c r="X4" s="13"/>
      <c r="Y4" s="13"/>
      <c r="Z4" s="13"/>
      <c r="AA4" s="13"/>
      <c r="AB4" s="13"/>
      <c r="AC4" s="13"/>
      <c r="AD4" s="13"/>
    </row>
    <row r="5" spans="1:30" ht="7.5" customHeight="1"/>
    <row r="6" spans="1:30" ht="15.75" customHeight="1">
      <c r="A6" s="1">
        <v>1</v>
      </c>
      <c r="B6" s="3" t="s">
        <v>112</v>
      </c>
      <c r="C6" s="117" t="s">
        <v>34</v>
      </c>
      <c r="D6" s="117" t="s">
        <v>148</v>
      </c>
      <c r="E6" s="117" t="s">
        <v>4</v>
      </c>
      <c r="H6" s="3" t="s">
        <v>112</v>
      </c>
      <c r="I6" s="117" t="s">
        <v>18</v>
      </c>
      <c r="J6" s="117" t="s">
        <v>19</v>
      </c>
      <c r="K6" s="117" t="s">
        <v>20</v>
      </c>
      <c r="L6" s="117" t="s">
        <v>21</v>
      </c>
      <c r="M6" s="117" t="s">
        <v>22</v>
      </c>
      <c r="N6" s="117" t="s">
        <v>23</v>
      </c>
      <c r="O6" s="117" t="s">
        <v>24</v>
      </c>
      <c r="P6" s="117" t="s">
        <v>25</v>
      </c>
      <c r="Q6" s="117" t="s">
        <v>26</v>
      </c>
      <c r="R6" s="117" t="s">
        <v>27</v>
      </c>
      <c r="S6" s="117" t="s">
        <v>28</v>
      </c>
      <c r="T6" s="117" t="s">
        <v>29</v>
      </c>
      <c r="U6" s="117" t="s">
        <v>30</v>
      </c>
      <c r="V6" s="117" t="s">
        <v>31</v>
      </c>
      <c r="W6" s="117" t="s">
        <v>32</v>
      </c>
      <c r="X6" s="117" t="s">
        <v>33</v>
      </c>
      <c r="Y6" s="117" t="s">
        <v>2</v>
      </c>
      <c r="Z6" s="117" t="s">
        <v>34</v>
      </c>
      <c r="AA6" s="117" t="s">
        <v>35</v>
      </c>
      <c r="AB6" s="117" t="s">
        <v>36</v>
      </c>
      <c r="AC6" s="117" t="s">
        <v>3</v>
      </c>
      <c r="AD6" s="117" t="s">
        <v>148</v>
      </c>
    </row>
    <row r="7" spans="1:30">
      <c r="A7" s="1">
        <v>2</v>
      </c>
      <c r="B7" s="3" t="s">
        <v>64</v>
      </c>
      <c r="C7" s="117"/>
      <c r="D7" s="117"/>
      <c r="E7" s="117"/>
      <c r="H7" s="3" t="s">
        <v>64</v>
      </c>
      <c r="I7" s="117"/>
      <c r="J7" s="117"/>
      <c r="K7" s="117"/>
      <c r="L7" s="117"/>
      <c r="M7" s="117"/>
      <c r="N7" s="117"/>
      <c r="O7" s="117"/>
      <c r="P7" s="117"/>
      <c r="Q7" s="117"/>
      <c r="R7" s="117"/>
      <c r="S7" s="117"/>
      <c r="T7" s="117"/>
      <c r="U7" s="117"/>
      <c r="V7" s="117"/>
      <c r="W7" s="117"/>
      <c r="X7" s="117"/>
      <c r="Y7" s="117"/>
      <c r="Z7" s="117"/>
      <c r="AA7" s="117"/>
      <c r="AB7" s="117"/>
      <c r="AC7" s="117"/>
      <c r="AD7" s="117"/>
    </row>
    <row r="8" spans="1:30" ht="4.5" customHeight="1">
      <c r="A8" s="1">
        <v>3</v>
      </c>
    </row>
    <row r="9" spans="1:30">
      <c r="A9" s="1">
        <v>4</v>
      </c>
      <c r="B9" s="28" t="s">
        <v>113</v>
      </c>
      <c r="C9" s="14">
        <f>+HLOOKUP($C$6,$H$6:$AF$18,A9,FALSE)</f>
        <v>1529.6106433047801</v>
      </c>
      <c r="D9" s="14">
        <f>+HLOOKUP($D$6,$H$6:$AF$18,A9,FALSE)</f>
        <v>1451.7839426024229</v>
      </c>
      <c r="E9" s="36">
        <f>D9/C9-1</f>
        <v>-5.0880072679286292E-2</v>
      </c>
      <c r="H9" s="5" t="s">
        <v>113</v>
      </c>
      <c r="I9" s="14">
        <v>851.94598514999996</v>
      </c>
      <c r="J9" s="14">
        <v>877.85857165000004</v>
      </c>
      <c r="K9" s="14">
        <v>966.98446622000006</v>
      </c>
      <c r="L9" s="14">
        <v>1036.83880901</v>
      </c>
      <c r="M9" s="14">
        <v>1123.0161427500002</v>
      </c>
      <c r="N9" s="14">
        <v>906.10416333000012</v>
      </c>
      <c r="O9" s="14">
        <v>1018.89567078</v>
      </c>
      <c r="P9" s="14">
        <f>1151.26274554-P28</f>
        <v>1079.4268553100001</v>
      </c>
      <c r="Q9" s="14">
        <f>1215.75743257-Q28</f>
        <v>1149.0228043500001</v>
      </c>
      <c r="R9" s="14">
        <v>962.29794672999992</v>
      </c>
      <c r="S9" s="14">
        <f>1117.13582647-S28</f>
        <v>1056.5571717299999</v>
      </c>
      <c r="T9" s="14">
        <v>1069.0444025100001</v>
      </c>
      <c r="U9" s="14">
        <f>1313.33960533-U28</f>
        <v>1239.53445283</v>
      </c>
      <c r="V9" s="14">
        <f>1157.13281828-V28</f>
        <v>1065.85657085</v>
      </c>
      <c r="W9" s="14">
        <f>1232.11201038-W28</f>
        <v>1153.9265937</v>
      </c>
      <c r="X9" s="14">
        <f>1259.18534985546-X28</f>
        <v>1184.6837488154599</v>
      </c>
      <c r="Y9" s="14">
        <f>1835.53080955605-Y28</f>
        <v>1771.1374382460499</v>
      </c>
      <c r="Z9" s="14">
        <f>1606.13921990478-Z28</f>
        <v>1529.6106433047801</v>
      </c>
      <c r="AA9" s="14">
        <f>2162.29712954196-AA28</f>
        <v>2101.5483796752483</v>
      </c>
      <c r="AB9" s="14">
        <f>1766.43577610322-AB28</f>
        <v>1701.09212012322</v>
      </c>
      <c r="AC9" s="14">
        <v>1531.3300000000002</v>
      </c>
      <c r="AD9" s="14">
        <v>1451.7839426024229</v>
      </c>
    </row>
    <row r="10" spans="1:30">
      <c r="A10" s="1">
        <v>5</v>
      </c>
      <c r="B10" s="28" t="s">
        <v>114</v>
      </c>
      <c r="C10" s="14">
        <f t="shared" ref="C10:C18" si="0">+HLOOKUP($C$6,$H$6:$AF$18,A10,FALSE)</f>
        <v>4202.1238247000001</v>
      </c>
      <c r="D10" s="14">
        <f t="shared" ref="D10:D18" si="1">+HLOOKUP($D$6,$H$6:$AF$18,A10,FALSE)</f>
        <v>4220.9687017755605</v>
      </c>
      <c r="E10" s="36">
        <f>D10/C10-1</f>
        <v>4.4846077511544458E-3</v>
      </c>
      <c r="H10" s="28" t="s">
        <v>114</v>
      </c>
      <c r="I10" s="14">
        <v>5111.9700011000004</v>
      </c>
      <c r="J10" s="14">
        <v>5118.2419994500015</v>
      </c>
      <c r="K10" s="14">
        <v>5083.0575229899996</v>
      </c>
      <c r="L10" s="14">
        <v>5039.0015552599998</v>
      </c>
      <c r="M10" s="14">
        <v>5033.1846888900009</v>
      </c>
      <c r="N10" s="14">
        <v>5004.2986579099997</v>
      </c>
      <c r="O10" s="14">
        <v>4986.2491683299995</v>
      </c>
      <c r="P10" s="14">
        <f>5627.08594679-P29</f>
        <v>4914.9502672399994</v>
      </c>
      <c r="Q10" s="14">
        <f>5634.71460311-Q29</f>
        <v>4900.3526078900004</v>
      </c>
      <c r="R10" s="14">
        <v>4856.1919675599984</v>
      </c>
      <c r="S10" s="14">
        <f>5662.96485819-S29</f>
        <v>4816.5027538599998</v>
      </c>
      <c r="T10" s="14">
        <v>4715.0582073800015</v>
      </c>
      <c r="U10" s="14">
        <f>5548.1223242-U29</f>
        <v>4691.6083793299995</v>
      </c>
      <c r="V10" s="14">
        <f>5545.52978856-V29</f>
        <v>4703.89630622</v>
      </c>
      <c r="W10" s="14">
        <f>5499.52641136-W29</f>
        <v>4689.1938464699997</v>
      </c>
      <c r="X10" s="14">
        <f>5374.69484166304-X29</f>
        <v>4692.081113313041</v>
      </c>
      <c r="Y10" s="14">
        <f>4858.214-Y29</f>
        <v>4188.5855019600003</v>
      </c>
      <c r="Z10" s="14">
        <f>4861.638-Z29</f>
        <v>4202.1238247000001</v>
      </c>
      <c r="AA10" s="14">
        <f>4981.939-AA29</f>
        <v>4336.9985660196135</v>
      </c>
      <c r="AB10" s="14">
        <f>4836.072-AB29</f>
        <v>4196.7211968600004</v>
      </c>
      <c r="AC10" s="14">
        <v>4108.0199999999995</v>
      </c>
      <c r="AD10" s="14">
        <v>4220.9687017755605</v>
      </c>
    </row>
    <row r="11" spans="1:30" ht="5.25" customHeight="1">
      <c r="A11" s="1">
        <v>6</v>
      </c>
      <c r="C11" s="15">
        <f t="shared" si="0"/>
        <v>0</v>
      </c>
      <c r="D11" s="15">
        <f t="shared" si="1"/>
        <v>0</v>
      </c>
      <c r="E11" s="40"/>
      <c r="I11" s="15"/>
      <c r="J11" s="15"/>
      <c r="K11" s="40"/>
      <c r="L11" s="40"/>
      <c r="M11" s="40"/>
      <c r="N11" s="40"/>
      <c r="O11" s="40"/>
      <c r="P11" s="40"/>
      <c r="Q11" s="40"/>
      <c r="R11" s="40"/>
      <c r="S11" s="40"/>
      <c r="T11" s="40"/>
      <c r="U11" s="40"/>
      <c r="V11" s="40"/>
      <c r="W11" s="40"/>
      <c r="X11" s="40"/>
      <c r="Y11" s="40"/>
      <c r="Z11" s="40"/>
      <c r="AA11" s="40"/>
      <c r="AB11" s="40"/>
      <c r="AC11" s="40"/>
      <c r="AD11" s="40"/>
    </row>
    <row r="12" spans="1:30">
      <c r="A12" s="1">
        <v>7</v>
      </c>
      <c r="B12" s="6" t="s">
        <v>115</v>
      </c>
      <c r="C12" s="9">
        <f t="shared" si="0"/>
        <v>5731.73446800478</v>
      </c>
      <c r="D12" s="9">
        <f t="shared" si="1"/>
        <v>5672.7526443779834</v>
      </c>
      <c r="E12" s="38">
        <f>D12/C12-1</f>
        <v>-1.0290397078936642E-2</v>
      </c>
      <c r="H12" s="6" t="s">
        <v>115</v>
      </c>
      <c r="I12" s="9">
        <f>I10+I9</f>
        <v>5963.9159862500001</v>
      </c>
      <c r="J12" s="9">
        <f>J10+J9</f>
        <v>5996.1005711000016</v>
      </c>
      <c r="K12" s="9">
        <f t="shared" ref="K12:M12" si="2">K10+K9</f>
        <v>6050.0419892099999</v>
      </c>
      <c r="L12" s="9">
        <f t="shared" si="2"/>
        <v>6075.8403642699996</v>
      </c>
      <c r="M12" s="9">
        <f t="shared" si="2"/>
        <v>6156.2008316400006</v>
      </c>
      <c r="N12" s="9">
        <f t="shared" ref="N12:O12" si="3">N10+N9</f>
        <v>5910.4028212399999</v>
      </c>
      <c r="O12" s="9">
        <f t="shared" si="3"/>
        <v>6005.1448391099993</v>
      </c>
      <c r="P12" s="9">
        <f t="shared" ref="P12:AA12" si="4">P10+P9</f>
        <v>5994.3771225499995</v>
      </c>
      <c r="Q12" s="9">
        <f t="shared" si="4"/>
        <v>6049.3754122400005</v>
      </c>
      <c r="R12" s="9">
        <f t="shared" si="4"/>
        <v>5818.4899142899985</v>
      </c>
      <c r="S12" s="9">
        <f t="shared" si="4"/>
        <v>5873.0599255899997</v>
      </c>
      <c r="T12" s="9">
        <f t="shared" si="4"/>
        <v>5784.102609890002</v>
      </c>
      <c r="U12" s="9">
        <f t="shared" si="4"/>
        <v>5931.1428321599997</v>
      </c>
      <c r="V12" s="9">
        <f t="shared" si="4"/>
        <v>5769.7528770700001</v>
      </c>
      <c r="W12" s="9">
        <f t="shared" si="4"/>
        <v>5843.1204401699997</v>
      </c>
      <c r="X12" s="9">
        <f t="shared" si="4"/>
        <v>5876.7648621285007</v>
      </c>
      <c r="Y12" s="9">
        <f t="shared" si="4"/>
        <v>5959.7229402060502</v>
      </c>
      <c r="Z12" s="9">
        <f t="shared" si="4"/>
        <v>5731.73446800478</v>
      </c>
      <c r="AA12" s="9">
        <f t="shared" si="4"/>
        <v>6438.5469456948613</v>
      </c>
      <c r="AB12" s="9">
        <f>AB10+AB9</f>
        <v>5897.8133169832199</v>
      </c>
      <c r="AC12" s="9">
        <f>AC10+AC9</f>
        <v>5639.3499999999995</v>
      </c>
      <c r="AD12" s="9">
        <f>AD10+AD9</f>
        <v>5672.7526443779834</v>
      </c>
    </row>
    <row r="13" spans="1:30" ht="5.25" customHeight="1">
      <c r="A13" s="1">
        <v>8</v>
      </c>
    </row>
    <row r="14" spans="1:30">
      <c r="A14" s="1">
        <v>9</v>
      </c>
      <c r="B14" s="5" t="s">
        <v>116</v>
      </c>
      <c r="C14" s="14">
        <f t="shared" si="0"/>
        <v>331.30202495999998</v>
      </c>
      <c r="D14" s="14">
        <f t="shared" si="1"/>
        <v>336.20000000000005</v>
      </c>
      <c r="E14" s="36">
        <f>D14/C14-1</f>
        <v>1.4784017817553119E-2</v>
      </c>
      <c r="H14" s="5" t="s">
        <v>116</v>
      </c>
      <c r="I14" s="14">
        <v>332.06293499999998</v>
      </c>
      <c r="J14" s="14">
        <v>257.57242348</v>
      </c>
      <c r="K14" s="14">
        <v>251.18324160999998</v>
      </c>
      <c r="L14" s="14">
        <v>321.59412931000003</v>
      </c>
      <c r="M14" s="14">
        <v>311.40434149000004</v>
      </c>
      <c r="N14" s="14">
        <v>240.91993596999998</v>
      </c>
      <c r="O14" s="14">
        <v>238.14455495999999</v>
      </c>
      <c r="P14" s="14">
        <f>345.36432029-P33</f>
        <v>301.90262543</v>
      </c>
      <c r="Q14" s="14">
        <f>324.73546798-Q33</f>
        <v>278.59070792</v>
      </c>
      <c r="R14" s="14">
        <v>217.377272</v>
      </c>
      <c r="S14" s="14">
        <f>286.59953942-S33</f>
        <v>226.65396185999998</v>
      </c>
      <c r="T14" s="14">
        <v>267.9885452499999</v>
      </c>
      <c r="U14" s="14">
        <f>344.78575294-U33</f>
        <v>245.24322167000003</v>
      </c>
      <c r="V14" s="14">
        <f>300.0780978-V33</f>
        <v>187.28015278000004</v>
      </c>
      <c r="W14" s="14">
        <f>285.30081097-W33</f>
        <v>193.42503362999997</v>
      </c>
      <c r="X14" s="14">
        <f>306.542637480564-X33</f>
        <v>215.40118083056399</v>
      </c>
      <c r="Y14" s="14">
        <f>429.657122-Y33</f>
        <v>341.73667789000001</v>
      </c>
      <c r="Z14" s="14">
        <f>427.219-Z33</f>
        <v>331.30202495999998</v>
      </c>
      <c r="AA14" s="14">
        <f>571.603-AA33</f>
        <v>479.19844292999994</v>
      </c>
      <c r="AB14" s="14">
        <f>679.004-AB33</f>
        <v>592.82991433000007</v>
      </c>
      <c r="AC14" s="14">
        <v>297.52000000000004</v>
      </c>
      <c r="AD14" s="14">
        <v>336.20000000000005</v>
      </c>
    </row>
    <row r="15" spans="1:30">
      <c r="A15" s="1">
        <v>10</v>
      </c>
      <c r="B15" s="5" t="s">
        <v>117</v>
      </c>
      <c r="C15" s="14">
        <f t="shared" si="0"/>
        <v>2312.3760000000002</v>
      </c>
      <c r="D15" s="14">
        <f t="shared" si="1"/>
        <v>2724.7799999999997</v>
      </c>
      <c r="E15" s="36">
        <f>D15/C15-1</f>
        <v>0.17834642808954926</v>
      </c>
      <c r="H15" s="5" t="s">
        <v>117</v>
      </c>
      <c r="I15" s="14">
        <v>2298.0290426399997</v>
      </c>
      <c r="J15" s="14">
        <v>2289.0193435900001</v>
      </c>
      <c r="K15" s="14">
        <v>2303.73616958</v>
      </c>
      <c r="L15" s="14">
        <v>2262.9810454100002</v>
      </c>
      <c r="M15" s="14">
        <v>2276.3748615799996</v>
      </c>
      <c r="N15" s="14">
        <v>2240.46498006</v>
      </c>
      <c r="O15" s="14">
        <v>2281.9964221199998</v>
      </c>
      <c r="P15" s="14">
        <f>2576.04691683-P34</f>
        <v>2242.7578190900003</v>
      </c>
      <c r="Q15" s="14">
        <f>2601.2611478-Q34</f>
        <v>2257.6920767399997</v>
      </c>
      <c r="R15" s="14">
        <v>2247.1130673900002</v>
      </c>
      <c r="S15" s="14">
        <f>2674.75084135-S34</f>
        <v>2230.2975092900001</v>
      </c>
      <c r="T15" s="14">
        <v>2185.7482230700002</v>
      </c>
      <c r="U15" s="14">
        <f>2749.60490735-U34</f>
        <v>2317.5012676799997</v>
      </c>
      <c r="V15" s="14">
        <f>2740.20253576-V34</f>
        <v>2309.7141655300002</v>
      </c>
      <c r="W15" s="14">
        <f>2720.09146833-W34</f>
        <v>2308.2274280400002</v>
      </c>
      <c r="X15" s="14">
        <f>2741.98145781361-X34</f>
        <v>2331.50730189361</v>
      </c>
      <c r="Y15" s="14">
        <f>2717.96-Y34</f>
        <v>2322.7600000000002</v>
      </c>
      <c r="Z15" s="14">
        <f>2705.976-Z34</f>
        <v>2312.3760000000002</v>
      </c>
      <c r="AA15" s="14">
        <f>2649.348-AA34</f>
        <v>2275.9437433200001</v>
      </c>
      <c r="AB15" s="14">
        <f>3082.078-AB34</f>
        <v>2708.91780522</v>
      </c>
      <c r="AC15" s="14">
        <v>2726.27</v>
      </c>
      <c r="AD15" s="14">
        <v>2724.7799999999997</v>
      </c>
    </row>
    <row r="16" spans="1:30">
      <c r="A16" s="1">
        <v>11</v>
      </c>
      <c r="B16" s="5" t="s">
        <v>118</v>
      </c>
      <c r="C16" s="14">
        <f t="shared" si="0"/>
        <v>3088.0364921699997</v>
      </c>
      <c r="D16" s="14">
        <f t="shared" si="1"/>
        <v>2611.7799999999997</v>
      </c>
      <c r="E16" s="36">
        <f t="shared" ref="E16" si="5">D16/C16-1</f>
        <v>-0.15422631610008242</v>
      </c>
      <c r="H16" s="5" t="s">
        <v>118</v>
      </c>
      <c r="I16" s="14">
        <v>3333.1386763600008</v>
      </c>
      <c r="J16" s="14">
        <v>3449.5088040299997</v>
      </c>
      <c r="K16" s="14">
        <v>3495.1225780199998</v>
      </c>
      <c r="L16" s="14">
        <v>3491.2651895500003</v>
      </c>
      <c r="M16" s="14">
        <v>3568.4216285699999</v>
      </c>
      <c r="N16" s="14">
        <v>3429.0179052100002</v>
      </c>
      <c r="O16" s="14">
        <v>3485.0038620300002</v>
      </c>
      <c r="P16" s="14">
        <f>3856.93745521-P35</f>
        <v>3449.7166780299999</v>
      </c>
      <c r="Q16" s="14">
        <f>3924.4754199-Q35</f>
        <v>3513.0926275799998</v>
      </c>
      <c r="R16" s="14">
        <v>3354.0092946500004</v>
      </c>
      <c r="S16" s="14">
        <f>3818.75030389-S35</f>
        <v>3416.1084544400001</v>
      </c>
      <c r="T16" s="14">
        <v>3330.39901263</v>
      </c>
      <c r="U16" s="14">
        <f>3767.1044403-U35</f>
        <v>3368.4315138699999</v>
      </c>
      <c r="V16" s="14">
        <f>3662.38197328-V35</f>
        <v>3272.7585587599997</v>
      </c>
      <c r="W16" s="14">
        <f>3726.24614244-W35</f>
        <v>3341.4679784999998</v>
      </c>
      <c r="X16" s="14">
        <f>3585.36746942-X35</f>
        <v>3329.8676748499997</v>
      </c>
      <c r="Y16" s="14">
        <f>3546.10960949-Y35</f>
        <v>3295.19686215</v>
      </c>
      <c r="Z16" s="14">
        <f>3334.495-Z35</f>
        <v>3088.0364921699997</v>
      </c>
      <c r="AA16" s="14">
        <f>3923.286-AA35</f>
        <v>3683.4401203254592</v>
      </c>
      <c r="AB16" s="14">
        <f>2841.426-AB35</f>
        <v>2596.0407430499999</v>
      </c>
      <c r="AC16" s="14">
        <v>2615.6499999999996</v>
      </c>
      <c r="AD16" s="108">
        <v>2611.7799999999997</v>
      </c>
    </row>
    <row r="17" spans="1:30" ht="4.5" customHeight="1">
      <c r="A17" s="1">
        <v>12</v>
      </c>
      <c r="C17" s="1">
        <f t="shared" si="0"/>
        <v>0</v>
      </c>
      <c r="D17" s="39">
        <f t="shared" si="1"/>
        <v>0</v>
      </c>
      <c r="E17" s="39"/>
    </row>
    <row r="18" spans="1:30">
      <c r="A18" s="1">
        <v>13</v>
      </c>
      <c r="B18" s="6" t="s">
        <v>119</v>
      </c>
      <c r="C18" s="9">
        <f t="shared" si="0"/>
        <v>5731.7145171299999</v>
      </c>
      <c r="D18" s="9">
        <f t="shared" si="1"/>
        <v>5672.7599999999993</v>
      </c>
      <c r="E18" s="38">
        <f>D18/C18-1</f>
        <v>-1.0285668791389924E-2</v>
      </c>
      <c r="H18" s="6" t="s">
        <v>119</v>
      </c>
      <c r="I18" s="9">
        <f>SUM(I14:I16)</f>
        <v>5963.2306540000009</v>
      </c>
      <c r="J18" s="9">
        <f t="shared" ref="J18" si="6">SUM(J14:J16)</f>
        <v>5996.1005710999998</v>
      </c>
      <c r="K18" s="9">
        <f>SUM(K14:K16)</f>
        <v>6050.0419892099999</v>
      </c>
      <c r="L18" s="9">
        <f t="shared" ref="L18:N18" si="7">SUM(L14:L16)</f>
        <v>6075.8403642700005</v>
      </c>
      <c r="M18" s="9">
        <f t="shared" si="7"/>
        <v>6156.2008316399997</v>
      </c>
      <c r="N18" s="9">
        <f t="shared" si="7"/>
        <v>5910.4028212400008</v>
      </c>
      <c r="O18" s="9">
        <f t="shared" ref="O18:R18" si="8">SUM(O14:O16)</f>
        <v>6005.1448391100002</v>
      </c>
      <c r="P18" s="9">
        <f t="shared" si="8"/>
        <v>5994.3771225500004</v>
      </c>
      <c r="Q18" s="9">
        <f t="shared" si="8"/>
        <v>6049.3754122399996</v>
      </c>
      <c r="R18" s="9">
        <f t="shared" si="8"/>
        <v>5818.4996340400012</v>
      </c>
      <c r="S18" s="9">
        <f t="shared" ref="S18:Y18" si="9">SUM(S14:S16)</f>
        <v>5873.0599255899997</v>
      </c>
      <c r="T18" s="9">
        <f t="shared" si="9"/>
        <v>5784.1357809500005</v>
      </c>
      <c r="U18" s="9">
        <f t="shared" si="9"/>
        <v>5931.17600322</v>
      </c>
      <c r="V18" s="9">
        <f t="shared" si="9"/>
        <v>5769.7528770700001</v>
      </c>
      <c r="W18" s="9">
        <f t="shared" si="9"/>
        <v>5843.1204401699997</v>
      </c>
      <c r="X18" s="9">
        <f t="shared" si="9"/>
        <v>5876.7761575741733</v>
      </c>
      <c r="Y18" s="9">
        <f t="shared" si="9"/>
        <v>5959.6935400399998</v>
      </c>
      <c r="Z18" s="9">
        <f>SUM(Z14:Z16)</f>
        <v>5731.7145171299999</v>
      </c>
      <c r="AA18" s="9">
        <f>SUM(AA14:AA16)</f>
        <v>6438.5823065754594</v>
      </c>
      <c r="AB18" s="9">
        <f>SUM(AB14:AB16)</f>
        <v>5897.7884625999995</v>
      </c>
      <c r="AC18" s="9">
        <f>SUM(AC14:AC16)</f>
        <v>5639.44</v>
      </c>
      <c r="AD18" s="9">
        <f>SUM(AD14:AD16)</f>
        <v>5672.7599999999993</v>
      </c>
    </row>
    <row r="23" spans="1:30" ht="23.25">
      <c r="B23" s="12" t="s">
        <v>57</v>
      </c>
      <c r="C23" s="13"/>
      <c r="D23" s="13"/>
      <c r="E23" s="13"/>
      <c r="H23" s="12" t="s">
        <v>57</v>
      </c>
      <c r="I23" s="13"/>
      <c r="J23" s="13"/>
      <c r="K23" s="13"/>
      <c r="L23" s="13"/>
      <c r="M23" s="13"/>
      <c r="N23" s="13"/>
      <c r="O23" s="13"/>
      <c r="P23" s="13"/>
      <c r="Q23" s="13"/>
      <c r="R23" s="13"/>
      <c r="S23" s="13"/>
      <c r="T23" s="13"/>
      <c r="U23" s="13"/>
      <c r="V23" s="13"/>
      <c r="W23" s="13"/>
      <c r="X23" s="13"/>
      <c r="Y23" s="13"/>
      <c r="Z23" s="13"/>
      <c r="AA23" s="13"/>
      <c r="AB23" s="13"/>
      <c r="AC23" s="13"/>
      <c r="AD23" s="13"/>
    </row>
    <row r="24" spans="1:30" ht="7.5" customHeight="1"/>
    <row r="25" spans="1:30">
      <c r="A25" s="1">
        <v>1</v>
      </c>
      <c r="B25" s="3" t="s">
        <v>112</v>
      </c>
      <c r="C25" s="123" t="s">
        <v>34</v>
      </c>
      <c r="D25" s="117" t="s">
        <v>148</v>
      </c>
      <c r="E25" s="117" t="s">
        <v>4</v>
      </c>
      <c r="H25" s="3" t="s">
        <v>112</v>
      </c>
      <c r="I25" s="117" t="s">
        <v>18</v>
      </c>
      <c r="J25" s="117" t="s">
        <v>19</v>
      </c>
      <c r="K25" s="117" t="s">
        <v>20</v>
      </c>
      <c r="L25" s="117" t="s">
        <v>21</v>
      </c>
      <c r="M25" s="117" t="s">
        <v>22</v>
      </c>
      <c r="N25" s="117" t="s">
        <v>23</v>
      </c>
      <c r="O25" s="117" t="s">
        <v>24</v>
      </c>
      <c r="P25" s="117" t="s">
        <v>25</v>
      </c>
      <c r="Q25" s="117" t="s">
        <v>26</v>
      </c>
      <c r="R25" s="117" t="s">
        <v>27</v>
      </c>
      <c r="S25" s="117" t="s">
        <v>28</v>
      </c>
      <c r="T25" s="117" t="s">
        <v>29</v>
      </c>
      <c r="U25" s="117" t="s">
        <v>30</v>
      </c>
      <c r="V25" s="117" t="s">
        <v>31</v>
      </c>
      <c r="W25" s="117" t="s">
        <v>32</v>
      </c>
      <c r="X25" s="117" t="s">
        <v>33</v>
      </c>
      <c r="Y25" s="117" t="s">
        <v>2</v>
      </c>
      <c r="Z25" s="117" t="s">
        <v>34</v>
      </c>
      <c r="AA25" s="117" t="s">
        <v>35</v>
      </c>
      <c r="AB25" s="117" t="s">
        <v>36</v>
      </c>
      <c r="AC25" s="117" t="s">
        <v>3</v>
      </c>
      <c r="AD25" s="117" t="s">
        <v>148</v>
      </c>
    </row>
    <row r="26" spans="1:30">
      <c r="A26" s="1">
        <v>2</v>
      </c>
      <c r="B26" s="3" t="s">
        <v>64</v>
      </c>
      <c r="C26" s="123"/>
      <c r="D26" s="117"/>
      <c r="E26" s="117"/>
      <c r="H26" s="3" t="s">
        <v>64</v>
      </c>
      <c r="I26" s="117"/>
      <c r="J26" s="117"/>
      <c r="K26" s="117"/>
      <c r="L26" s="117"/>
      <c r="M26" s="117"/>
      <c r="N26" s="117"/>
      <c r="O26" s="117"/>
      <c r="P26" s="117"/>
      <c r="Q26" s="117"/>
      <c r="R26" s="117"/>
      <c r="S26" s="117"/>
      <c r="T26" s="117"/>
      <c r="U26" s="117"/>
      <c r="V26" s="117"/>
      <c r="W26" s="117"/>
      <c r="X26" s="117"/>
      <c r="Y26" s="117"/>
      <c r="Z26" s="117"/>
      <c r="AA26" s="117"/>
      <c r="AB26" s="117"/>
      <c r="AC26" s="117"/>
      <c r="AD26" s="117"/>
    </row>
    <row r="27" spans="1:30" ht="4.5" customHeight="1">
      <c r="A27" s="1">
        <v>3</v>
      </c>
    </row>
    <row r="28" spans="1:30">
      <c r="A28" s="1">
        <v>4</v>
      </c>
      <c r="B28" s="5" t="s">
        <v>113</v>
      </c>
      <c r="C28" s="7">
        <f t="shared" ref="C28:C35" si="10">+HLOOKUP($C$25,$H$25:$AE$37,A28,FALSE)</f>
        <v>76.528576600000008</v>
      </c>
      <c r="D28" s="7">
        <f>+HLOOKUP($D$25,$H$25:$BC$37,A28,FALSE)</f>
        <v>77.477328758716951</v>
      </c>
      <c r="E28" s="36">
        <f>D28/C28-1</f>
        <v>1.2397357965716393E-2</v>
      </c>
      <c r="H28" s="5" t="s">
        <v>113</v>
      </c>
      <c r="I28" s="14">
        <v>99.084344999999999</v>
      </c>
      <c r="J28" s="14">
        <v>101.61696936</v>
      </c>
      <c r="K28" s="14">
        <v>103.71705962999999</v>
      </c>
      <c r="L28" s="14">
        <v>110.32355256999999</v>
      </c>
      <c r="M28" s="14">
        <v>97.451427910000007</v>
      </c>
      <c r="N28" s="14">
        <v>104.49759676000001</v>
      </c>
      <c r="O28" s="14">
        <v>97.678491099999988</v>
      </c>
      <c r="P28" s="14">
        <v>71.835890230000004</v>
      </c>
      <c r="Q28" s="14">
        <v>66.734628219999991</v>
      </c>
      <c r="R28" s="14">
        <v>67.594024689999998</v>
      </c>
      <c r="S28" s="14">
        <v>60.578654739999998</v>
      </c>
      <c r="T28" s="14">
        <v>70.365920110000005</v>
      </c>
      <c r="U28" s="14">
        <v>73.805152500000005</v>
      </c>
      <c r="V28" s="14">
        <v>91.276247429999998</v>
      </c>
      <c r="W28" s="14">
        <v>78.185416680000003</v>
      </c>
      <c r="X28" s="14">
        <v>74.501601039999997</v>
      </c>
      <c r="Y28" s="14">
        <v>64.393371309999992</v>
      </c>
      <c r="Z28" s="14">
        <v>76.528576600000008</v>
      </c>
      <c r="AA28" s="14">
        <v>60.748749866711798</v>
      </c>
      <c r="AB28" s="14">
        <v>65.343655979999994</v>
      </c>
      <c r="AC28" s="14">
        <v>65.586164040637385</v>
      </c>
      <c r="AD28" s="14">
        <v>77.477328758716951</v>
      </c>
    </row>
    <row r="29" spans="1:30">
      <c r="A29" s="1">
        <v>5</v>
      </c>
      <c r="B29" s="5" t="s">
        <v>114</v>
      </c>
      <c r="C29" s="7">
        <f t="shared" si="10"/>
        <v>659.51417529999992</v>
      </c>
      <c r="D29" s="7">
        <f>+HLOOKUP($D$25,$H$25:$BE$37,A29,FALSE)</f>
        <v>634.60129822443957</v>
      </c>
      <c r="E29" s="36">
        <f>D29/C29-1</f>
        <v>-3.7774589248560031E-2</v>
      </c>
      <c r="H29" s="5" t="s">
        <v>114</v>
      </c>
      <c r="I29" s="14">
        <v>734.85100731999989</v>
      </c>
      <c r="J29" s="14">
        <v>728.05867406999994</v>
      </c>
      <c r="K29" s="14">
        <v>743.07765096000014</v>
      </c>
      <c r="L29" s="14">
        <v>736.37788302000001</v>
      </c>
      <c r="M29" s="14">
        <v>732.46127262999994</v>
      </c>
      <c r="N29" s="14">
        <v>723.52039917000002</v>
      </c>
      <c r="O29" s="14">
        <v>716.73618529000032</v>
      </c>
      <c r="P29" s="14">
        <v>712.13567955000008</v>
      </c>
      <c r="Q29" s="14">
        <v>734.36199522000004</v>
      </c>
      <c r="R29" s="14">
        <v>861.97988807999991</v>
      </c>
      <c r="S29" s="14">
        <v>846.46210432999999</v>
      </c>
      <c r="T29" s="14">
        <v>850.84815062999985</v>
      </c>
      <c r="U29" s="14">
        <v>856.51394486999993</v>
      </c>
      <c r="V29" s="14">
        <v>841.63348233999989</v>
      </c>
      <c r="W29" s="14">
        <v>810.33256488999984</v>
      </c>
      <c r="X29" s="14">
        <v>682.61372834999975</v>
      </c>
      <c r="Y29" s="14">
        <v>669.62849803999984</v>
      </c>
      <c r="Z29" s="14">
        <v>659.51417529999992</v>
      </c>
      <c r="AA29" s="14">
        <v>644.9404339803865</v>
      </c>
      <c r="AB29" s="14">
        <v>639.35080313999947</v>
      </c>
      <c r="AC29" s="14">
        <v>644.24248148931088</v>
      </c>
      <c r="AD29" s="14">
        <v>634.60129822443957</v>
      </c>
    </row>
    <row r="30" spans="1:30" ht="4.5" customHeight="1">
      <c r="A30" s="1">
        <v>6</v>
      </c>
      <c r="C30" s="1">
        <f t="shared" si="10"/>
        <v>0</v>
      </c>
      <c r="E30" s="39"/>
    </row>
    <row r="31" spans="1:30">
      <c r="A31" s="1">
        <v>7</v>
      </c>
      <c r="B31" s="6" t="s">
        <v>115</v>
      </c>
      <c r="C31" s="9">
        <f t="shared" si="10"/>
        <v>736.04275189999998</v>
      </c>
      <c r="D31" s="9">
        <f>+HLOOKUP($D$25,$H$25:$AQ$37,A31,FALSE)</f>
        <v>712.07862698315648</v>
      </c>
      <c r="E31" s="38">
        <f>D31/C31-1</f>
        <v>-3.2558061138409644E-2</v>
      </c>
      <c r="H31" s="6" t="s">
        <v>115</v>
      </c>
      <c r="I31" s="9">
        <f>I29+I28</f>
        <v>833.93535231999988</v>
      </c>
      <c r="J31" s="9">
        <f t="shared" ref="J31:K31" si="11">J29+J28</f>
        <v>829.67564342999992</v>
      </c>
      <c r="K31" s="9">
        <f t="shared" si="11"/>
        <v>846.79471059000014</v>
      </c>
      <c r="L31" s="9">
        <f t="shared" ref="L31:N31" si="12">L29+L28</f>
        <v>846.70143558999996</v>
      </c>
      <c r="M31" s="9">
        <f t="shared" si="12"/>
        <v>829.91270053999995</v>
      </c>
      <c r="N31" s="9">
        <f t="shared" si="12"/>
        <v>828.01799592999998</v>
      </c>
      <c r="O31" s="9">
        <f t="shared" ref="O31" si="13">O29+O28</f>
        <v>814.4146763900003</v>
      </c>
      <c r="P31" s="9">
        <f t="shared" ref="P31:AA31" si="14">+P28+P29</f>
        <v>783.9715697800001</v>
      </c>
      <c r="Q31" s="9">
        <f t="shared" si="14"/>
        <v>801.09662344000003</v>
      </c>
      <c r="R31" s="9">
        <f t="shared" si="14"/>
        <v>929.57391276999988</v>
      </c>
      <c r="S31" s="9">
        <f t="shared" si="14"/>
        <v>907.04075907000004</v>
      </c>
      <c r="T31" s="9">
        <f t="shared" si="14"/>
        <v>921.2140707399999</v>
      </c>
      <c r="U31" s="9">
        <f t="shared" si="14"/>
        <v>930.31909736999989</v>
      </c>
      <c r="V31" s="9">
        <f t="shared" si="14"/>
        <v>932.9097297699999</v>
      </c>
      <c r="W31" s="9">
        <f t="shared" si="14"/>
        <v>888.51798156999985</v>
      </c>
      <c r="X31" s="9">
        <f t="shared" si="14"/>
        <v>757.11532938999972</v>
      </c>
      <c r="Y31" s="9">
        <f t="shared" si="14"/>
        <v>734.02186934999986</v>
      </c>
      <c r="Z31" s="9">
        <f t="shared" si="14"/>
        <v>736.04275189999998</v>
      </c>
      <c r="AA31" s="9">
        <f t="shared" si="14"/>
        <v>705.68918384709832</v>
      </c>
      <c r="AB31" s="9">
        <f>+AB28+AB29</f>
        <v>704.69445911999946</v>
      </c>
      <c r="AC31" s="9">
        <f>+AC28+AC29</f>
        <v>709.82864552994829</v>
      </c>
      <c r="AD31" s="9">
        <f>+AD28+AD29</f>
        <v>712.07862698315648</v>
      </c>
    </row>
    <row r="32" spans="1:30" ht="4.5" customHeight="1">
      <c r="A32" s="1">
        <v>8</v>
      </c>
      <c r="C32" s="1">
        <f t="shared" si="10"/>
        <v>0</v>
      </c>
      <c r="E32" s="39"/>
    </row>
    <row r="33" spans="1:30">
      <c r="A33" s="1">
        <v>9</v>
      </c>
      <c r="B33" s="5" t="s">
        <v>116</v>
      </c>
      <c r="C33" s="7">
        <f t="shared" si="10"/>
        <v>95.916975039999997</v>
      </c>
      <c r="D33" s="7">
        <f>+HLOOKUP($D$25,$H$25:$AO$36,A33,FALSE)</f>
        <v>97.624676279999989</v>
      </c>
      <c r="E33" s="36">
        <f>D33/C33-1</f>
        <v>1.780395221271136E-2</v>
      </c>
      <c r="H33" s="5" t="s">
        <v>116</v>
      </c>
      <c r="I33" s="14">
        <v>22.336485010000001</v>
      </c>
      <c r="J33" s="14">
        <v>20.85197148</v>
      </c>
      <c r="K33" s="14">
        <v>28.26018797</v>
      </c>
      <c r="L33" s="14">
        <v>33.207928359999997</v>
      </c>
      <c r="M33" s="14">
        <v>34.073178300000009</v>
      </c>
      <c r="N33" s="14">
        <v>35.731892770000002</v>
      </c>
      <c r="O33" s="14">
        <v>42.527268629999995</v>
      </c>
      <c r="P33" s="14">
        <v>43.461694860000001</v>
      </c>
      <c r="Q33" s="14">
        <v>46.144760060000003</v>
      </c>
      <c r="R33" s="14">
        <v>53.074400949999998</v>
      </c>
      <c r="S33" s="14">
        <v>59.945577559999997</v>
      </c>
      <c r="T33" s="14">
        <v>70.349828369999997</v>
      </c>
      <c r="U33" s="14">
        <v>99.542531269999998</v>
      </c>
      <c r="V33" s="14">
        <v>112.79794502</v>
      </c>
      <c r="W33" s="14">
        <v>91.875777339999999</v>
      </c>
      <c r="X33" s="14">
        <v>91.141456650000023</v>
      </c>
      <c r="Y33" s="14">
        <v>87.920444109999991</v>
      </c>
      <c r="Z33" s="14">
        <v>95.916975039999997</v>
      </c>
      <c r="AA33" s="14">
        <v>92.404557069999981</v>
      </c>
      <c r="AB33" s="14">
        <v>86.174085669999997</v>
      </c>
      <c r="AC33" s="14">
        <v>90.871895529999989</v>
      </c>
      <c r="AD33" s="14">
        <v>97.624676279999989</v>
      </c>
    </row>
    <row r="34" spans="1:30">
      <c r="A34" s="1">
        <v>10</v>
      </c>
      <c r="B34" s="5" t="s">
        <v>120</v>
      </c>
      <c r="C34" s="7">
        <f t="shared" si="10"/>
        <v>393.59999999999997</v>
      </c>
      <c r="D34" s="7">
        <f>+HLOOKUP($D$25,$H$25:$AN$37,A34,FALSE)</f>
        <v>354.46523908000006</v>
      </c>
      <c r="E34" s="36">
        <f t="shared" ref="E34:E35" si="15">D34/C34-1</f>
        <v>-9.9427746239837189E-2</v>
      </c>
      <c r="H34" s="5" t="s">
        <v>120</v>
      </c>
      <c r="I34" s="14">
        <v>374.89243102999995</v>
      </c>
      <c r="J34" s="14">
        <v>373.39117074000001</v>
      </c>
      <c r="K34" s="14">
        <v>358.59106495999998</v>
      </c>
      <c r="L34" s="14">
        <v>354.05204652999998</v>
      </c>
      <c r="M34" s="14">
        <v>347.86783338999999</v>
      </c>
      <c r="N34" s="14">
        <v>347.68134299999997</v>
      </c>
      <c r="O34" s="14">
        <v>333.21886042</v>
      </c>
      <c r="P34" s="14">
        <v>333.28909773999993</v>
      </c>
      <c r="Q34" s="14">
        <v>343.56907105999994</v>
      </c>
      <c r="R34" s="14">
        <v>464.94667656999997</v>
      </c>
      <c r="S34" s="14">
        <v>444.45333205999998</v>
      </c>
      <c r="T34" s="14">
        <v>445.62806600999994</v>
      </c>
      <c r="U34" s="14">
        <v>432.10363967000006</v>
      </c>
      <c r="V34" s="14">
        <v>430.48837023000004</v>
      </c>
      <c r="W34" s="14">
        <v>411.86404028999999</v>
      </c>
      <c r="X34" s="14">
        <v>410.47415591999999</v>
      </c>
      <c r="Y34" s="14">
        <v>395.2</v>
      </c>
      <c r="Z34" s="14">
        <v>393.59999999999997</v>
      </c>
      <c r="AA34" s="14">
        <v>373.40425668</v>
      </c>
      <c r="AB34" s="14">
        <v>373.16019477999998</v>
      </c>
      <c r="AC34" s="14">
        <v>356.72701661999997</v>
      </c>
      <c r="AD34" s="14">
        <v>354.46523908000006</v>
      </c>
    </row>
    <row r="35" spans="1:30">
      <c r="A35" s="1">
        <v>11</v>
      </c>
      <c r="B35" s="5" t="s">
        <v>121</v>
      </c>
      <c r="C35" s="7">
        <f t="shared" si="10"/>
        <v>246.45850783000003</v>
      </c>
      <c r="D35" s="7">
        <f>+HLOOKUP($D$25,$H$25:$AV$37,A35,FALSE)</f>
        <v>259.98871162307182</v>
      </c>
      <c r="E35" s="36">
        <f t="shared" si="15"/>
        <v>5.4898505684391141E-2</v>
      </c>
      <c r="H35" s="5" t="s">
        <v>121</v>
      </c>
      <c r="I35" s="14">
        <v>436.70643628000005</v>
      </c>
      <c r="J35" s="14">
        <v>435.43250121000005</v>
      </c>
      <c r="K35" s="14">
        <v>459.94345766000004</v>
      </c>
      <c r="L35" s="14">
        <v>459.44146069999994</v>
      </c>
      <c r="M35" s="14">
        <v>447.97168884999991</v>
      </c>
      <c r="N35" s="14">
        <v>444.60476015999996</v>
      </c>
      <c r="O35" s="14">
        <v>438.66854733999998</v>
      </c>
      <c r="P35" s="14">
        <v>407.22077717999997</v>
      </c>
      <c r="Q35" s="14">
        <v>411.38279232000002</v>
      </c>
      <c r="R35" s="14">
        <v>411.55283524999999</v>
      </c>
      <c r="S35" s="14">
        <v>402.64184945</v>
      </c>
      <c r="T35" s="14">
        <v>405.23617636</v>
      </c>
      <c r="U35" s="14">
        <v>398.67292643000002</v>
      </c>
      <c r="V35" s="14">
        <v>389.62341451999998</v>
      </c>
      <c r="W35" s="14">
        <v>384.77816394000001</v>
      </c>
      <c r="X35" s="14">
        <v>255.49979457000001</v>
      </c>
      <c r="Y35" s="14">
        <v>250.91274734000004</v>
      </c>
      <c r="Z35" s="14">
        <v>246.45850783000003</v>
      </c>
      <c r="AA35" s="14">
        <v>239.84587967454101</v>
      </c>
      <c r="AB35" s="14">
        <v>245.38525695000001</v>
      </c>
      <c r="AC35" s="14">
        <v>262.22684147986359</v>
      </c>
      <c r="AD35" s="14">
        <v>259.98871162307182</v>
      </c>
    </row>
    <row r="36" spans="1:30" ht="4.5" customHeight="1">
      <c r="A36" s="1">
        <v>12</v>
      </c>
      <c r="E36" s="39"/>
    </row>
    <row r="37" spans="1:30">
      <c r="A37" s="1">
        <v>13</v>
      </c>
      <c r="B37" s="6" t="s">
        <v>119</v>
      </c>
      <c r="C37" s="9">
        <f>+HLOOKUP($C$25,$H$25:$AE$37,A37,FALSE)</f>
        <v>735.97548286999995</v>
      </c>
      <c r="D37" s="9">
        <f>+HLOOKUP($D$25,$H$25:$AL$37,A37,FALSE)</f>
        <v>712.0786269830719</v>
      </c>
      <c r="E37" s="38">
        <f>D37/C37-1</f>
        <v>-3.2469635800557062E-2</v>
      </c>
      <c r="H37" s="6" t="s">
        <v>119</v>
      </c>
      <c r="I37" s="9">
        <f>SUM(I33:I35)</f>
        <v>833.93535231999999</v>
      </c>
      <c r="J37" s="9">
        <f t="shared" ref="J37:K37" si="16">SUM(J33:J35)</f>
        <v>829.67564343000004</v>
      </c>
      <c r="K37" s="9">
        <f t="shared" si="16"/>
        <v>846.79471059000002</v>
      </c>
      <c r="L37" s="9">
        <f t="shared" ref="L37:N37" si="17">SUM(L33:L35)</f>
        <v>846.70143558999985</v>
      </c>
      <c r="M37" s="9">
        <f t="shared" si="17"/>
        <v>829.91270053999983</v>
      </c>
      <c r="N37" s="9">
        <f t="shared" si="17"/>
        <v>828.01799592999987</v>
      </c>
      <c r="O37" s="9">
        <f t="shared" ref="O37:S37" si="18">SUM(O33:O35)</f>
        <v>814.41467638999995</v>
      </c>
      <c r="P37" s="9">
        <f t="shared" si="18"/>
        <v>783.97156977999998</v>
      </c>
      <c r="Q37" s="9">
        <f t="shared" si="18"/>
        <v>801.09662344000003</v>
      </c>
      <c r="R37" s="9">
        <f t="shared" si="18"/>
        <v>929.57391276999988</v>
      </c>
      <c r="S37" s="9">
        <f t="shared" si="18"/>
        <v>907.04075906999992</v>
      </c>
      <c r="T37" s="9">
        <f t="shared" ref="T37:U37" si="19">SUM(T33:T35)</f>
        <v>921.2140707399999</v>
      </c>
      <c r="U37" s="9">
        <f t="shared" si="19"/>
        <v>930.31909737000001</v>
      </c>
      <c r="V37" s="9">
        <f>SUM(V33:V35)</f>
        <v>932.90972977000001</v>
      </c>
      <c r="W37" s="9">
        <f>SUM(W33:W35)</f>
        <v>888.51798157000007</v>
      </c>
      <c r="X37" s="9">
        <f>SUM(X33:X35)</f>
        <v>757.11540714</v>
      </c>
      <c r="Y37" s="9">
        <f t="shared" ref="Y37" si="20">SUM(Y33:Y35)</f>
        <v>734.03319145</v>
      </c>
      <c r="Z37" s="9">
        <f>SUM(Z33:Z35)</f>
        <v>735.97548286999995</v>
      </c>
      <c r="AA37" s="9">
        <f>SUM(AA33:AA35)</f>
        <v>705.65469342454105</v>
      </c>
      <c r="AB37" s="9">
        <f>SUM(AB33:AB35)</f>
        <v>704.71953740000004</v>
      </c>
      <c r="AC37" s="9">
        <f>SUM(AC33:AC35)</f>
        <v>709.82575362986358</v>
      </c>
      <c r="AD37" s="9">
        <f>SUM(AD33:AD35)</f>
        <v>712.0786269830719</v>
      </c>
    </row>
    <row r="40" spans="1:30">
      <c r="P40" s="54"/>
      <c r="T40" s="54"/>
      <c r="U40" s="54"/>
      <c r="V40" s="54"/>
      <c r="W40" s="54"/>
      <c r="X40" s="54"/>
      <c r="Y40" s="54"/>
      <c r="Z40" s="54"/>
      <c r="AA40" s="54"/>
      <c r="AB40" s="54"/>
      <c r="AC40" s="54"/>
    </row>
    <row r="41" spans="1:30">
      <c r="P41" s="54"/>
      <c r="T41" s="54"/>
      <c r="U41" s="54"/>
      <c r="V41" s="54"/>
      <c r="W41" s="54"/>
      <c r="X41" s="54"/>
      <c r="Y41" s="54"/>
      <c r="Z41" s="54"/>
      <c r="AA41" s="54"/>
      <c r="AB41" s="54"/>
      <c r="AC41" s="54"/>
    </row>
    <row r="42" spans="1:30">
      <c r="P42" s="54"/>
      <c r="T42" s="54"/>
      <c r="U42" s="54"/>
      <c r="V42" s="54"/>
      <c r="W42" s="54"/>
      <c r="X42" s="54"/>
      <c r="Y42" s="54"/>
      <c r="Z42" s="54"/>
      <c r="AA42" s="54"/>
      <c r="AB42" s="54"/>
      <c r="AC42" s="54"/>
    </row>
    <row r="43" spans="1:30">
      <c r="P43" s="54"/>
      <c r="T43" s="54"/>
      <c r="U43" s="54"/>
      <c r="V43" s="54"/>
      <c r="W43" s="54"/>
      <c r="X43" s="54"/>
      <c r="Y43" s="54"/>
      <c r="Z43" s="54"/>
      <c r="AA43" s="54"/>
      <c r="AB43" s="54"/>
      <c r="AC43" s="54"/>
    </row>
    <row r="44" spans="1:30">
      <c r="P44" s="54"/>
      <c r="T44" s="54"/>
      <c r="U44" s="54"/>
      <c r="V44" s="54"/>
      <c r="W44" s="54"/>
      <c r="X44" s="54"/>
      <c r="Y44" s="54"/>
      <c r="Z44" s="54"/>
      <c r="AA44" s="54"/>
      <c r="AB44" s="54"/>
      <c r="AC44" s="54"/>
    </row>
    <row r="45" spans="1:30">
      <c r="P45" s="54"/>
      <c r="T45" s="54"/>
      <c r="U45" s="54"/>
      <c r="V45" s="54"/>
      <c r="W45" s="54"/>
      <c r="X45" s="54"/>
      <c r="Y45" s="54"/>
      <c r="Z45" s="54"/>
      <c r="AA45" s="54"/>
      <c r="AB45" s="54"/>
      <c r="AC45" s="54"/>
    </row>
    <row r="46" spans="1:30">
      <c r="P46" s="54"/>
      <c r="T46" s="54"/>
      <c r="U46" s="54"/>
      <c r="V46" s="54"/>
      <c r="W46" s="54"/>
      <c r="X46" s="54"/>
      <c r="Y46" s="54"/>
      <c r="Z46" s="54"/>
      <c r="AA46" s="54"/>
      <c r="AB46" s="54"/>
      <c r="AC46" s="54"/>
    </row>
    <row r="47" spans="1:30">
      <c r="P47" s="54"/>
      <c r="T47" s="54"/>
      <c r="U47" s="54"/>
      <c r="V47" s="54"/>
      <c r="W47" s="54"/>
      <c r="X47" s="54"/>
      <c r="Y47" s="54"/>
      <c r="Z47" s="54"/>
      <c r="AA47" s="54"/>
      <c r="AB47" s="54"/>
      <c r="AC47" s="54"/>
    </row>
    <row r="48" spans="1:30">
      <c r="P48" s="54"/>
      <c r="T48" s="54"/>
      <c r="U48" s="54"/>
      <c r="V48" s="54"/>
      <c r="W48" s="54"/>
      <c r="X48" s="54"/>
      <c r="Y48" s="54"/>
      <c r="Z48" s="54"/>
      <c r="AA48" s="54"/>
      <c r="AB48" s="54"/>
      <c r="AC48" s="54"/>
    </row>
    <row r="49" spans="16:29">
      <c r="P49" s="54"/>
      <c r="T49" s="54"/>
      <c r="U49" s="54"/>
      <c r="V49" s="54"/>
      <c r="W49" s="54"/>
      <c r="X49" s="54"/>
      <c r="Y49" s="54"/>
      <c r="Z49" s="54"/>
      <c r="AA49" s="54"/>
      <c r="AB49" s="54"/>
      <c r="AC49" s="54"/>
    </row>
  </sheetData>
  <mergeCells count="50">
    <mergeCell ref="W25:W26"/>
    <mergeCell ref="W6:W7"/>
    <mergeCell ref="Z6:Z7"/>
    <mergeCell ref="Z25:Z26"/>
    <mergeCell ref="AD6:AD7"/>
    <mergeCell ref="AD25:AD26"/>
    <mergeCell ref="AC6:AC7"/>
    <mergeCell ref="AC25:AC26"/>
    <mergeCell ref="Y6:Y7"/>
    <mergeCell ref="Y25:Y26"/>
    <mergeCell ref="AB6:AB7"/>
    <mergeCell ref="AB25:AB26"/>
    <mergeCell ref="X6:X7"/>
    <mergeCell ref="AA6:AA7"/>
    <mergeCell ref="AA25:AA26"/>
    <mergeCell ref="X25:X26"/>
    <mergeCell ref="J25:J26"/>
    <mergeCell ref="K25:K26"/>
    <mergeCell ref="V6:V7"/>
    <mergeCell ref="V25:V26"/>
    <mergeCell ref="K6:K7"/>
    <mergeCell ref="Q25:Q26"/>
    <mergeCell ref="O6:O7"/>
    <mergeCell ref="S25:S26"/>
    <mergeCell ref="R6:R7"/>
    <mergeCell ref="R25:R26"/>
    <mergeCell ref="P6:P7"/>
    <mergeCell ref="M25:M26"/>
    <mergeCell ref="Q6:Q7"/>
    <mergeCell ref="C6:C7"/>
    <mergeCell ref="D6:D7"/>
    <mergeCell ref="E6:E7"/>
    <mergeCell ref="I6:I7"/>
    <mergeCell ref="J6:J7"/>
    <mergeCell ref="C25:C26"/>
    <mergeCell ref="D25:D26"/>
    <mergeCell ref="E25:E26"/>
    <mergeCell ref="U6:U7"/>
    <mergeCell ref="U25:U26"/>
    <mergeCell ref="P25:P26"/>
    <mergeCell ref="O25:O26"/>
    <mergeCell ref="N6:N7"/>
    <mergeCell ref="N25:N26"/>
    <mergeCell ref="T25:T26"/>
    <mergeCell ref="T6:T7"/>
    <mergeCell ref="S6:S7"/>
    <mergeCell ref="I25:I26"/>
    <mergeCell ref="L6:L7"/>
    <mergeCell ref="L25:L26"/>
    <mergeCell ref="M6:M7"/>
  </mergeCells>
  <pageMargins left="0.7" right="0.7" top="0.75" bottom="0.75" header="0.3" footer="0.3"/>
  <pageSetup orientation="portrait" r:id="rId1"/>
  <ignoredErrors>
    <ignoredError sqref="E28:E37" evalError="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4:AR31"/>
  <sheetViews>
    <sheetView zoomScaleNormal="100" workbookViewId="0">
      <selection activeCell="E16" sqref="E16"/>
    </sheetView>
  </sheetViews>
  <sheetFormatPr baseColWidth="10" defaultColWidth="11.42578125" defaultRowHeight="15"/>
  <cols>
    <col min="1" max="1" width="30.28515625" style="1" customWidth="1"/>
    <col min="2" max="6" width="11.42578125" style="1"/>
    <col min="7" max="7" width="32.85546875" style="1" customWidth="1"/>
    <col min="8" max="35" width="11.42578125" style="1" customWidth="1"/>
    <col min="36" max="16384" width="11.42578125" style="1"/>
  </cols>
  <sheetData>
    <row r="4" spans="1:43" ht="23.25">
      <c r="A4" s="12" t="s">
        <v>0</v>
      </c>
      <c r="B4" s="13"/>
      <c r="C4" s="13"/>
      <c r="D4" s="13"/>
      <c r="G4" s="12" t="s">
        <v>0</v>
      </c>
      <c r="H4" s="13"/>
      <c r="I4" s="13"/>
      <c r="J4" s="13"/>
      <c r="K4" s="13"/>
      <c r="L4" s="13"/>
      <c r="M4" s="13"/>
      <c r="N4" s="13"/>
      <c r="O4" s="13"/>
      <c r="P4" s="13"/>
      <c r="Q4" s="13"/>
      <c r="R4" s="13"/>
      <c r="S4" s="13"/>
      <c r="T4" s="13"/>
      <c r="U4" s="13"/>
      <c r="V4" s="13"/>
      <c r="W4" s="13"/>
      <c r="X4" s="13"/>
      <c r="Y4" s="13"/>
      <c r="Z4" s="13"/>
      <c r="AA4" s="13"/>
      <c r="AB4" s="13"/>
      <c r="AC4" s="13"/>
      <c r="AD4" s="13"/>
      <c r="AE4" s="13"/>
      <c r="AF4" s="13"/>
      <c r="AG4" s="13"/>
      <c r="AH4" s="13"/>
      <c r="AI4" s="13"/>
      <c r="AJ4" s="13"/>
      <c r="AK4" s="13"/>
      <c r="AL4" s="13"/>
      <c r="AM4" s="13"/>
      <c r="AN4" s="13"/>
      <c r="AO4" s="13"/>
    </row>
    <row r="5" spans="1:43">
      <c r="F5" s="70"/>
    </row>
    <row r="6" spans="1:43">
      <c r="A6" s="3" t="s">
        <v>122</v>
      </c>
      <c r="B6" s="117" t="s">
        <v>34</v>
      </c>
      <c r="C6" s="123" t="s">
        <v>148</v>
      </c>
      <c r="D6" s="117" t="s">
        <v>4</v>
      </c>
      <c r="F6" s="70">
        <v>1</v>
      </c>
      <c r="G6" s="3" t="s">
        <v>122</v>
      </c>
      <c r="H6" s="117" t="s">
        <v>6</v>
      </c>
      <c r="I6" s="117" t="s">
        <v>7</v>
      </c>
      <c r="J6" s="117" t="s">
        <v>8</v>
      </c>
      <c r="K6" s="117" t="s">
        <v>9</v>
      </c>
      <c r="L6" s="117" t="s">
        <v>10</v>
      </c>
      <c r="M6" s="117" t="s">
        <v>11</v>
      </c>
      <c r="N6" s="117" t="s">
        <v>12</v>
      </c>
      <c r="O6" s="117" t="s">
        <v>13</v>
      </c>
      <c r="P6" s="117" t="s">
        <v>14</v>
      </c>
      <c r="Q6" s="117" t="s">
        <v>15</v>
      </c>
      <c r="R6" s="117" t="s">
        <v>16</v>
      </c>
      <c r="S6" s="117" t="s">
        <v>17</v>
      </c>
      <c r="T6" s="117" t="s">
        <v>18</v>
      </c>
      <c r="U6" s="117" t="s">
        <v>19</v>
      </c>
      <c r="V6" s="117" t="s">
        <v>20</v>
      </c>
      <c r="W6" s="117" t="s">
        <v>21</v>
      </c>
      <c r="X6" s="117" t="s">
        <v>22</v>
      </c>
      <c r="Y6" s="117" t="s">
        <v>23</v>
      </c>
      <c r="Z6" s="117" t="s">
        <v>24</v>
      </c>
      <c r="AA6" s="117" t="s">
        <v>25</v>
      </c>
      <c r="AB6" s="117" t="s">
        <v>26</v>
      </c>
      <c r="AC6" s="117" t="s">
        <v>27</v>
      </c>
      <c r="AD6" s="117" t="s">
        <v>28</v>
      </c>
      <c r="AE6" s="117" t="s">
        <v>29</v>
      </c>
      <c r="AF6" s="117" t="s">
        <v>30</v>
      </c>
      <c r="AG6" s="117" t="s">
        <v>31</v>
      </c>
      <c r="AH6" s="117" t="s">
        <v>32</v>
      </c>
      <c r="AI6" s="117" t="s">
        <v>33</v>
      </c>
      <c r="AJ6" s="117" t="s">
        <v>2</v>
      </c>
      <c r="AK6" s="117" t="s">
        <v>34</v>
      </c>
      <c r="AL6" s="117" t="s">
        <v>35</v>
      </c>
      <c r="AM6" s="117" t="s">
        <v>36</v>
      </c>
      <c r="AN6" s="117" t="s">
        <v>3</v>
      </c>
      <c r="AO6" s="117" t="s">
        <v>148</v>
      </c>
    </row>
    <row r="7" spans="1:43">
      <c r="A7" s="3" t="s">
        <v>64</v>
      </c>
      <c r="B7" s="117"/>
      <c r="C7" s="123"/>
      <c r="D7" s="117"/>
      <c r="F7" s="70">
        <v>2</v>
      </c>
      <c r="G7" s="3" t="s">
        <v>64</v>
      </c>
      <c r="H7" s="117"/>
      <c r="I7" s="117"/>
      <c r="J7" s="117"/>
      <c r="K7" s="117"/>
      <c r="L7" s="117"/>
      <c r="M7" s="117"/>
      <c r="N7" s="117"/>
      <c r="O7" s="117"/>
      <c r="P7" s="117"/>
      <c r="Q7" s="117"/>
      <c r="R7" s="117"/>
      <c r="S7" s="117"/>
      <c r="T7" s="117"/>
      <c r="U7" s="117"/>
      <c r="V7" s="117"/>
      <c r="W7" s="117"/>
      <c r="X7" s="117"/>
      <c r="Y7" s="117"/>
      <c r="Z7" s="117"/>
      <c r="AA7" s="117"/>
      <c r="AB7" s="117"/>
      <c r="AC7" s="117"/>
      <c r="AD7" s="117"/>
      <c r="AE7" s="117"/>
      <c r="AF7" s="117"/>
      <c r="AG7" s="117"/>
      <c r="AH7" s="117"/>
      <c r="AI7" s="117"/>
      <c r="AJ7" s="117"/>
      <c r="AK7" s="117"/>
      <c r="AL7" s="117"/>
      <c r="AM7" s="117"/>
      <c r="AN7" s="117"/>
      <c r="AO7" s="117"/>
    </row>
    <row r="8" spans="1:43">
      <c r="F8" s="70">
        <v>3</v>
      </c>
    </row>
    <row r="9" spans="1:43">
      <c r="A9" s="5" t="s">
        <v>123</v>
      </c>
      <c r="B9" s="8">
        <f>+HLOOKUP($B$6,$G$6:$AR$13,F9,FALSE)</f>
        <v>1320.7565026112502</v>
      </c>
      <c r="C9" s="8">
        <f>+HLOOKUP($C$6,$G$6:$AR$13,F9,FALSE)</f>
        <v>1726.8473695093601</v>
      </c>
      <c r="D9" s="46">
        <f>C9/B9-1</f>
        <v>0.30746838353264438</v>
      </c>
      <c r="F9" s="70">
        <v>4</v>
      </c>
      <c r="G9" s="5" t="s">
        <v>124</v>
      </c>
      <c r="H9" s="8">
        <v>1621.21</v>
      </c>
      <c r="I9" s="8">
        <v>1618.2439999999999</v>
      </c>
      <c r="J9" s="8">
        <v>2045.0509999999999</v>
      </c>
      <c r="K9" s="8">
        <v>1893.8910000000001</v>
      </c>
      <c r="L9" s="8">
        <v>1887.99</v>
      </c>
      <c r="M9" s="8">
        <v>1877</v>
      </c>
      <c r="N9" s="8">
        <v>1870.7026136500001</v>
      </c>
      <c r="O9" s="8">
        <v>1857.9439466699998</v>
      </c>
      <c r="P9" s="8">
        <v>1865.7826170000001</v>
      </c>
      <c r="Q9" s="8">
        <v>1626.8895758000001</v>
      </c>
      <c r="R9" s="8">
        <v>1361.9305067499999</v>
      </c>
      <c r="S9" s="8">
        <v>1347.14813589</v>
      </c>
      <c r="T9" s="8">
        <v>1342.6678752600001</v>
      </c>
      <c r="U9" s="8">
        <v>1341.22899979</v>
      </c>
      <c r="V9" s="8">
        <v>1344.95474584</v>
      </c>
      <c r="W9" s="8">
        <v>1305.42787344</v>
      </c>
      <c r="X9" s="8">
        <v>1318.1200414800001</v>
      </c>
      <c r="Y9" s="8">
        <v>1280.81690873</v>
      </c>
      <c r="Z9" s="8">
        <v>1287.7160888599999</v>
      </c>
      <c r="AA9" s="8">
        <f>1603.2633381-AA23</f>
        <v>1254.1770553000001</v>
      </c>
      <c r="AB9" s="8">
        <f>1612.00621806-AB23</f>
        <v>1272.0972800500001</v>
      </c>
      <c r="AC9" s="8">
        <v>1255.6366147000001</v>
      </c>
      <c r="AD9" s="8">
        <f>1701.04231517-AD23</f>
        <v>1243.88248436</v>
      </c>
      <c r="AE9" s="8">
        <v>1219.4010661599998</v>
      </c>
      <c r="AF9" s="8">
        <f>1814.75025218-AF23</f>
        <v>1347.5749549699999</v>
      </c>
      <c r="AG9" s="8">
        <f>1806.42016527-AG23</f>
        <v>1334.0859096400002</v>
      </c>
      <c r="AH9" s="8">
        <f>1796.72138678-AH23</f>
        <v>1338.1752458300002</v>
      </c>
      <c r="AI9" s="8">
        <f>1796.2731062684-AI23</f>
        <v>1336.7224258783999</v>
      </c>
      <c r="AJ9" s="8">
        <f>1781.18954300951-AJ23</f>
        <v>1337.78954300951</v>
      </c>
      <c r="AK9" s="8">
        <f>1765.65650261125-AK23</f>
        <v>1320.7565026112502</v>
      </c>
      <c r="AL9" s="8">
        <f>1750.75484374691-AL23</f>
        <v>1322.4888233469101</v>
      </c>
      <c r="AM9" s="8">
        <f>2310.45229578-AM23</f>
        <v>1880.8751022199999</v>
      </c>
      <c r="AN9" s="8">
        <f>+'[2]01.BALANCE'!$R$3+'[2]01.BALANCE'!$R$11</f>
        <v>1717.8100000000002</v>
      </c>
      <c r="AO9" s="8">
        <v>1726.8473695093601</v>
      </c>
      <c r="AP9" s="54"/>
    </row>
    <row r="10" spans="1:43">
      <c r="A10" s="5" t="s">
        <v>125</v>
      </c>
      <c r="B10" s="8">
        <f t="shared" ref="B10:B13" si="0">+HLOOKUP($B$6,$G$6:$AR$13,F10,FALSE)</f>
        <v>756.893476639543</v>
      </c>
      <c r="C10" s="8">
        <f t="shared" ref="C10:C13" si="1">+HLOOKUP($C$6,$G$6:$AR$13,F10,FALSE)</f>
        <v>950.66543734941501</v>
      </c>
      <c r="D10" s="46">
        <f t="shared" ref="D10:D13" si="2">C10/B10-1</f>
        <v>0.25600955311463536</v>
      </c>
      <c r="F10" s="70">
        <v>5</v>
      </c>
      <c r="G10" s="5" t="s">
        <v>125</v>
      </c>
      <c r="H10" s="8">
        <v>208.3</v>
      </c>
      <c r="I10" s="8">
        <v>337.4</v>
      </c>
      <c r="J10" s="8">
        <v>878.3</v>
      </c>
      <c r="K10" s="8">
        <v>832.76</v>
      </c>
      <c r="L10" s="8">
        <v>816.7</v>
      </c>
      <c r="M10" s="8">
        <v>912.5</v>
      </c>
      <c r="N10" s="8">
        <v>1090.5720669099999</v>
      </c>
      <c r="O10" s="8">
        <v>1058.0028371999999</v>
      </c>
      <c r="P10" s="8">
        <v>1041.9427924399999</v>
      </c>
      <c r="Q10" s="8">
        <v>821.89592786000003</v>
      </c>
      <c r="R10" s="8">
        <v>577.45237951000001</v>
      </c>
      <c r="S10" s="8">
        <v>644.96538209000005</v>
      </c>
      <c r="T10" s="8">
        <v>625.20350478</v>
      </c>
      <c r="U10" s="8">
        <v>642.64908048999996</v>
      </c>
      <c r="V10" s="8">
        <v>732.58318152000004</v>
      </c>
      <c r="W10" s="8">
        <v>757.34681765000005</v>
      </c>
      <c r="X10" s="8">
        <v>840.18244562999996</v>
      </c>
      <c r="Y10" s="8">
        <v>643.19314947999999</v>
      </c>
      <c r="Z10" s="8">
        <v>738.20035213999995</v>
      </c>
      <c r="AA10" s="8">
        <f>788.08749668-AA24</f>
        <v>764.38389112999994</v>
      </c>
      <c r="AB10" s="8">
        <f>815.72624595-AB24</f>
        <v>802.70145593000007</v>
      </c>
      <c r="AC10" s="8">
        <v>649.83319934000008</v>
      </c>
      <c r="AD10" s="8">
        <f>780.16379925-AD24</f>
        <v>766.81319765000001</v>
      </c>
      <c r="AE10" s="8">
        <v>773.54807795999977</v>
      </c>
      <c r="AF10" s="8">
        <f>979.68716846-AF24</f>
        <v>951.01231157999996</v>
      </c>
      <c r="AG10" s="8">
        <f>854.02097505-AG24</f>
        <v>813.01434632999997</v>
      </c>
      <c r="AH10" s="8">
        <f>965.89374418-AH24</f>
        <v>938.50500040999998</v>
      </c>
      <c r="AI10" s="8">
        <f>967.40052647-AI24</f>
        <v>938.55964359000006</v>
      </c>
      <c r="AJ10" s="8">
        <f>1027.83522607416-AJ24</f>
        <v>1005.9915344041599</v>
      </c>
      <c r="AK10" s="8">
        <f>789.998535169543-AK24</f>
        <v>756.893476639543</v>
      </c>
      <c r="AL10" s="8">
        <f>1886.10239526024-AL24</f>
        <v>1864.8212293125612</v>
      </c>
      <c r="AM10" s="8">
        <f>1419.22163411-AM24</f>
        <v>1391.35302142</v>
      </c>
      <c r="AN10" s="8">
        <f>+'[2]01.BALANCE'!$O$3</f>
        <v>1175.0899999999999</v>
      </c>
      <c r="AO10" s="8">
        <v>950.66543734941501</v>
      </c>
      <c r="AP10" s="54"/>
    </row>
    <row r="11" spans="1:43">
      <c r="A11" s="5" t="s">
        <v>126</v>
      </c>
      <c r="B11" s="8">
        <f t="shared" si="0"/>
        <v>563.86302597170197</v>
      </c>
      <c r="C11" s="87">
        <f t="shared" si="1"/>
        <v>776.18193215994506</v>
      </c>
      <c r="D11" s="46">
        <f t="shared" si="2"/>
        <v>0.37654340931887686</v>
      </c>
      <c r="F11" s="70">
        <v>6</v>
      </c>
      <c r="G11" s="5" t="s">
        <v>126</v>
      </c>
      <c r="H11" s="8">
        <f>H9-H10</f>
        <v>1412.91</v>
      </c>
      <c r="I11" s="8">
        <f t="shared" ref="I11:P11" si="3">I9-I10</f>
        <v>1280.8440000000001</v>
      </c>
      <c r="J11" s="8">
        <f t="shared" si="3"/>
        <v>1166.751</v>
      </c>
      <c r="K11" s="8">
        <f t="shared" si="3"/>
        <v>1061.1310000000001</v>
      </c>
      <c r="L11" s="8">
        <f t="shared" si="3"/>
        <v>1071.29</v>
      </c>
      <c r="M11" s="8">
        <f t="shared" si="3"/>
        <v>964.5</v>
      </c>
      <c r="N11" s="8">
        <f t="shared" si="3"/>
        <v>780.13054674000023</v>
      </c>
      <c r="O11" s="8">
        <f t="shared" si="3"/>
        <v>799.9411094699999</v>
      </c>
      <c r="P11" s="8">
        <f t="shared" si="3"/>
        <v>823.83982456000012</v>
      </c>
      <c r="Q11" s="8">
        <f t="shared" ref="Q11" si="4">Q9-Q10</f>
        <v>804.99364794000007</v>
      </c>
      <c r="R11" s="8">
        <f t="shared" ref="R11" si="5">R9-R10</f>
        <v>784.47812723999994</v>
      </c>
      <c r="S11" s="8">
        <f t="shared" ref="S11" si="6">S9-S10</f>
        <v>702.1827538</v>
      </c>
      <c r="T11" s="8">
        <f t="shared" ref="T11" si="7">T9-T10</f>
        <v>717.46437048000007</v>
      </c>
      <c r="U11" s="8">
        <f t="shared" ref="U11" si="8">U9-U10</f>
        <v>698.57991930000003</v>
      </c>
      <c r="V11" s="8">
        <f t="shared" ref="V11:X11" si="9">V9-V10</f>
        <v>612.37156431999995</v>
      </c>
      <c r="W11" s="8">
        <f t="shared" si="9"/>
        <v>548.08105578999994</v>
      </c>
      <c r="X11" s="8">
        <f t="shared" si="9"/>
        <v>477.93759585000009</v>
      </c>
      <c r="Y11" s="8">
        <f t="shared" ref="Y11:Z11" si="10">Y9-Y10</f>
        <v>637.62375925000003</v>
      </c>
      <c r="Z11" s="8">
        <f t="shared" si="10"/>
        <v>549.51573671999995</v>
      </c>
      <c r="AA11" s="8">
        <f>+AA9-AA10</f>
        <v>489.79316417000018</v>
      </c>
      <c r="AB11" s="8">
        <f>796.27997211-AB25</f>
        <v>469.3958241200001</v>
      </c>
      <c r="AC11" s="8">
        <v>605.80341536000014</v>
      </c>
      <c r="AD11" s="8">
        <f t="shared" ref="AD11:AH11" si="11">+AD9-AD10</f>
        <v>477.06928671000003</v>
      </c>
      <c r="AE11" s="8">
        <f t="shared" si="11"/>
        <v>445.85298820000003</v>
      </c>
      <c r="AF11" s="8">
        <f t="shared" si="11"/>
        <v>396.56264338999995</v>
      </c>
      <c r="AG11" s="8">
        <f t="shared" si="11"/>
        <v>521.07156331000022</v>
      </c>
      <c r="AH11" s="8">
        <f t="shared" si="11"/>
        <v>399.67024542000024</v>
      </c>
      <c r="AI11" s="8">
        <f>+AI9-AI10</f>
        <v>398.16278228839985</v>
      </c>
      <c r="AJ11" s="8">
        <f>+AJ9-AJ10</f>
        <v>331.79800860535011</v>
      </c>
      <c r="AK11" s="8">
        <f>975.657967441702-AK25</f>
        <v>563.86302597170197</v>
      </c>
      <c r="AL11" s="8">
        <f>+AL9-AL10</f>
        <v>-542.33240596565111</v>
      </c>
      <c r="AM11" s="8">
        <f>+AM9-AM10</f>
        <v>489.52208079999991</v>
      </c>
      <c r="AN11" s="8">
        <f>+AN9-AN10</f>
        <v>542.72000000000025</v>
      </c>
      <c r="AO11" s="8">
        <f>+AO9-AO10</f>
        <v>776.18193215994506</v>
      </c>
      <c r="AP11" s="54"/>
    </row>
    <row r="12" spans="1:43">
      <c r="A12" s="5" t="s">
        <v>127</v>
      </c>
      <c r="B12" s="8">
        <f t="shared" si="0"/>
        <v>575.70420253003601</v>
      </c>
      <c r="C12" s="8">
        <f t="shared" si="1"/>
        <v>449.76646769813902</v>
      </c>
      <c r="D12" s="46">
        <f t="shared" si="2"/>
        <v>-0.21875423920555193</v>
      </c>
      <c r="F12" s="70">
        <v>7</v>
      </c>
      <c r="G12" s="5" t="s">
        <v>127</v>
      </c>
      <c r="H12" s="8">
        <v>382.92145630999988</v>
      </c>
      <c r="I12" s="8">
        <v>393.30915419999997</v>
      </c>
      <c r="J12" s="8">
        <v>484.35407574999999</v>
      </c>
      <c r="K12" s="8">
        <f>SUM('Operating Income'!I33:L33)</f>
        <v>536.55660998999997</v>
      </c>
      <c r="L12" s="8">
        <f>SUM('Operating Income'!J33:M33)</f>
        <v>509.58181343000001</v>
      </c>
      <c r="M12" s="8">
        <f>SUM('Operating Income'!K33:N33)</f>
        <v>505.11810049000002</v>
      </c>
      <c r="N12" s="8">
        <f>SUM('Operating Income'!L33:O33)</f>
        <v>569.03689686999996</v>
      </c>
      <c r="O12" s="8">
        <f>SUM('Operating Income'!M33:P33)</f>
        <v>582.13436263000006</v>
      </c>
      <c r="P12" s="8">
        <f>SUM('Operating Income'!N33:Q33)</f>
        <v>642.86230607999994</v>
      </c>
      <c r="Q12" s="8">
        <f>SUM('Operating Income'!O33:R33)</f>
        <v>648.4863515699999</v>
      </c>
      <c r="R12" s="8">
        <f>SUM('Operating Income'!P33:S33)</f>
        <v>574.0483696199999</v>
      </c>
      <c r="S12" s="8">
        <f>SUM('Operating Income'!Q33:T33)</f>
        <v>545.71205114999987</v>
      </c>
      <c r="T12" s="8">
        <f>SUM('Operating Income'!R33:U33)</f>
        <v>535.59390827999982</v>
      </c>
      <c r="U12" s="8">
        <f>SUM('Operating Income'!S33:V33)</f>
        <v>541.16867648999994</v>
      </c>
      <c r="V12" s="8">
        <f>SUM('Operating Income'!T33:W33)</f>
        <v>595.27126139999996</v>
      </c>
      <c r="W12" s="8">
        <f>SUM('Operating Income'!U33:X33)</f>
        <v>638.54421912999999</v>
      </c>
      <c r="X12" s="8">
        <f>SUM('Operating Income'!V33:Y33)</f>
        <v>648.81246179000004</v>
      </c>
      <c r="Y12" s="8">
        <f>SUM('Operating Income'!W33:Z33)</f>
        <v>642.92675406000012</v>
      </c>
      <c r="Z12" s="8">
        <f>SUM('Operating Income'!X33:AA33)</f>
        <v>631.35391621000019</v>
      </c>
      <c r="AA12" s="8">
        <f>SUM('Operating Income'!Y33:AB33)</f>
        <v>647.7782706600002</v>
      </c>
      <c r="AB12" s="8">
        <f>SUM('Operating Income'!Z33:AC33)</f>
        <v>643.02155693000009</v>
      </c>
      <c r="AC12" s="8">
        <f>SUM('Operating Income'!AA33:AD33)</f>
        <v>656.63837824000018</v>
      </c>
      <c r="AD12" s="8">
        <f>SUM('Operating Income'!AB33:AE33)</f>
        <v>670.39056757000014</v>
      </c>
      <c r="AE12" s="8">
        <f>SUM('Operating Income'!AC33:AF33)</f>
        <v>630.87492585131372</v>
      </c>
      <c r="AF12" s="8">
        <f>SUM('Operating Income'!AD33:AG33)</f>
        <v>634.74103105131371</v>
      </c>
      <c r="AG12" s="8">
        <f>SUM('Operating Income'!AE33:AH33)</f>
        <v>621.18250273131366</v>
      </c>
      <c r="AH12" s="8">
        <f>SUM('Operating Income'!AF33:AI33)</f>
        <v>617.77807009131357</v>
      </c>
      <c r="AI12" s="8">
        <f>682.539488147868-AI26</f>
        <v>617.42694116786799</v>
      </c>
      <c r="AJ12" s="8">
        <f>+SUM('Operating Income'!AH33:AK33)</f>
        <v>585.1565443502941</v>
      </c>
      <c r="AK12" s="8">
        <f>639.022682110036-AK26</f>
        <v>575.70420253003601</v>
      </c>
      <c r="AL12" s="8">
        <f>535.871740508092-AL26</f>
        <v>468.346890108092</v>
      </c>
      <c r="AM12" s="8">
        <f>520.197108828493-AM26</f>
        <v>450.66937666849299</v>
      </c>
      <c r="AN12" s="8">
        <f>+SUM('Operating Income'!AL33:AO33)</f>
        <v>508.55406477641793</v>
      </c>
      <c r="AO12" s="8">
        <v>449.76646769813902</v>
      </c>
      <c r="AP12" s="54"/>
    </row>
    <row r="13" spans="1:43">
      <c r="A13" s="5" t="s">
        <v>128</v>
      </c>
      <c r="B13" s="8">
        <f t="shared" si="0"/>
        <v>0.97943183929126132</v>
      </c>
      <c r="C13" s="8">
        <f t="shared" si="1"/>
        <v>1.7257443315691554</v>
      </c>
      <c r="D13" s="46">
        <f t="shared" si="2"/>
        <v>0.76198512478208014</v>
      </c>
      <c r="F13" s="70">
        <v>8</v>
      </c>
      <c r="G13" s="5" t="s">
        <v>128</v>
      </c>
      <c r="H13" s="8">
        <f>H11/H12</f>
        <v>3.6898167410503038</v>
      </c>
      <c r="I13" s="8">
        <f t="shared" ref="I13:V13" si="12">I11/I12</f>
        <v>3.2565832407467523</v>
      </c>
      <c r="J13" s="8">
        <f t="shared" si="12"/>
        <v>2.408880317964373</v>
      </c>
      <c r="K13" s="8">
        <f t="shared" si="12"/>
        <v>1.9776683023619388</v>
      </c>
      <c r="L13" s="8">
        <f t="shared" si="12"/>
        <v>2.1022924519011714</v>
      </c>
      <c r="M13" s="8">
        <f t="shared" si="12"/>
        <v>1.9094544405840284</v>
      </c>
      <c r="N13" s="8">
        <f t="shared" si="12"/>
        <v>1.3709665419432826</v>
      </c>
      <c r="O13" s="8">
        <f t="shared" si="12"/>
        <v>1.37415201854084</v>
      </c>
      <c r="P13" s="8">
        <f t="shared" si="12"/>
        <v>1.2815183232371361</v>
      </c>
      <c r="Q13" s="8">
        <f t="shared" si="12"/>
        <v>1.2413424677190084</v>
      </c>
      <c r="R13" s="8">
        <f t="shared" si="12"/>
        <v>1.3665714750819644</v>
      </c>
      <c r="S13" s="8">
        <f t="shared" si="12"/>
        <v>1.2867275925467716</v>
      </c>
      <c r="T13" s="8">
        <f t="shared" si="12"/>
        <v>1.339567831874819</v>
      </c>
      <c r="U13" s="8">
        <f t="shared" si="12"/>
        <v>1.2908727900346406</v>
      </c>
      <c r="V13" s="8">
        <f t="shared" si="12"/>
        <v>1.0287269082666317</v>
      </c>
      <c r="W13" s="8">
        <f t="shared" ref="W13:X13" si="13">W11/W12</f>
        <v>0.85832905438678342</v>
      </c>
      <c r="X13" s="8">
        <f t="shared" si="13"/>
        <v>0.73663442673623203</v>
      </c>
      <c r="Y13" s="8">
        <f t="shared" ref="Y13:Z13" si="14">Y11/Y12</f>
        <v>0.99175179011215142</v>
      </c>
      <c r="Z13" s="8">
        <f t="shared" si="14"/>
        <v>0.87037669777789206</v>
      </c>
      <c r="AA13" s="8">
        <f t="shared" ref="AA13:AF13" si="15">+AA11/AA12</f>
        <v>0.75611237109106155</v>
      </c>
      <c r="AB13" s="8">
        <f t="shared" si="15"/>
        <v>0.72998458459317084</v>
      </c>
      <c r="AC13" s="8">
        <f t="shared" si="15"/>
        <v>0.92258301591165914</v>
      </c>
      <c r="AD13" s="8">
        <f t="shared" si="15"/>
        <v>0.71162887693849586</v>
      </c>
      <c r="AE13" s="8">
        <f t="shared" si="15"/>
        <v>0.70672168116106082</v>
      </c>
      <c r="AF13" s="8">
        <f t="shared" si="15"/>
        <v>0.62476289382644468</v>
      </c>
      <c r="AG13" s="8">
        <v>0.62856171092891566</v>
      </c>
      <c r="AH13" s="8">
        <f t="shared" ref="AH13" si="16">+AH11/AH12</f>
        <v>0.6469479328732487</v>
      </c>
      <c r="AI13" s="8">
        <f>+AI11/AI12</f>
        <v>0.64487432559271185</v>
      </c>
      <c r="AJ13" s="8">
        <f>+AJ11/AJ12</f>
        <v>0.56702434896929876</v>
      </c>
      <c r="AK13" s="8">
        <f>+AK11/AK12</f>
        <v>0.97943183929126132</v>
      </c>
      <c r="AL13" s="8" t="s">
        <v>50</v>
      </c>
      <c r="AM13" s="8">
        <f>+AM11/AM12</f>
        <v>1.0862111031788311</v>
      </c>
      <c r="AN13" s="8">
        <f>+AN11/AN12</f>
        <v>1.0671825034740468</v>
      </c>
      <c r="AO13" s="8">
        <f>+AO11/AO12</f>
        <v>1.7257443315691554</v>
      </c>
      <c r="AP13" s="54"/>
      <c r="AQ13" s="54"/>
    </row>
    <row r="14" spans="1:43">
      <c r="F14" s="70"/>
      <c r="U14" s="33"/>
      <c r="V14" s="33"/>
      <c r="W14" s="33"/>
      <c r="X14" s="33"/>
      <c r="Y14" s="33"/>
      <c r="Z14" s="33"/>
      <c r="AA14" s="33"/>
      <c r="AB14" s="33"/>
      <c r="AC14" s="33"/>
      <c r="AD14" s="33"/>
      <c r="AE14" s="33"/>
      <c r="AF14" s="33"/>
      <c r="AG14" s="33"/>
      <c r="AH14" s="33"/>
      <c r="AI14" s="33"/>
      <c r="AJ14" s="33"/>
      <c r="AK14" s="33"/>
      <c r="AL14" s="33"/>
      <c r="AM14" s="33"/>
      <c r="AN14" s="33"/>
      <c r="AO14" s="54"/>
    </row>
    <row r="15" spans="1:43">
      <c r="F15" s="70"/>
      <c r="AH15" s="54"/>
      <c r="AO15" s="54"/>
      <c r="AP15" s="54"/>
    </row>
    <row r="16" spans="1:43">
      <c r="C16" s="54"/>
      <c r="D16" s="54"/>
      <c r="F16" s="70"/>
      <c r="AP16" s="54"/>
    </row>
    <row r="17" spans="1:44">
      <c r="F17" s="70"/>
      <c r="AR17" s="54"/>
    </row>
    <row r="18" spans="1:44" ht="23.25">
      <c r="A18" s="12" t="s">
        <v>57</v>
      </c>
      <c r="B18" s="13"/>
      <c r="C18" s="13"/>
      <c r="D18" s="13"/>
      <c r="F18" s="70"/>
      <c r="G18" s="12" t="s">
        <v>57</v>
      </c>
      <c r="H18" s="13"/>
      <c r="I18" s="13"/>
      <c r="J18" s="13"/>
      <c r="K18" s="13"/>
      <c r="L18" s="13"/>
      <c r="M18" s="13"/>
      <c r="N18" s="13"/>
      <c r="O18" s="13"/>
      <c r="P18" s="13"/>
      <c r="Q18" s="13"/>
      <c r="R18" s="13"/>
      <c r="S18" s="13"/>
      <c r="T18" s="13"/>
      <c r="U18" s="13"/>
      <c r="V18" s="13"/>
      <c r="W18" s="13"/>
      <c r="X18" s="13"/>
      <c r="Y18" s="13"/>
      <c r="Z18" s="13"/>
      <c r="AA18" s="13"/>
      <c r="AB18" s="13"/>
      <c r="AC18" s="13"/>
      <c r="AD18" s="13"/>
      <c r="AE18" s="13"/>
      <c r="AF18" s="13"/>
      <c r="AG18" s="13"/>
      <c r="AH18" s="13"/>
      <c r="AI18" s="13"/>
      <c r="AJ18" s="13"/>
      <c r="AK18" s="13"/>
      <c r="AL18" s="13"/>
      <c r="AM18" s="13"/>
      <c r="AN18" s="13"/>
      <c r="AO18" s="13"/>
      <c r="AR18" s="54"/>
    </row>
    <row r="19" spans="1:44">
      <c r="F19" s="70"/>
      <c r="AR19" s="54"/>
    </row>
    <row r="20" spans="1:44">
      <c r="A20" s="3" t="s">
        <v>122</v>
      </c>
      <c r="B20" s="117" t="s">
        <v>34</v>
      </c>
      <c r="C20" s="123" t="s">
        <v>148</v>
      </c>
      <c r="D20" s="117" t="s">
        <v>4</v>
      </c>
      <c r="F20" s="70">
        <v>1</v>
      </c>
      <c r="G20" s="3" t="s">
        <v>122</v>
      </c>
      <c r="H20" s="117" t="s">
        <v>6</v>
      </c>
      <c r="I20" s="117" t="s">
        <v>7</v>
      </c>
      <c r="J20" s="117" t="s">
        <v>8</v>
      </c>
      <c r="K20" s="117" t="s">
        <v>9</v>
      </c>
      <c r="L20" s="117" t="s">
        <v>10</v>
      </c>
      <c r="M20" s="117" t="s">
        <v>11</v>
      </c>
      <c r="N20" s="117" t="s">
        <v>12</v>
      </c>
      <c r="O20" s="117" t="s">
        <v>13</v>
      </c>
      <c r="P20" s="117" t="s">
        <v>14</v>
      </c>
      <c r="Q20" s="117" t="s">
        <v>15</v>
      </c>
      <c r="R20" s="117" t="s">
        <v>16</v>
      </c>
      <c r="S20" s="117" t="s">
        <v>17</v>
      </c>
      <c r="T20" s="117" t="s">
        <v>18</v>
      </c>
      <c r="U20" s="117" t="s">
        <v>19</v>
      </c>
      <c r="V20" s="117" t="s">
        <v>20</v>
      </c>
      <c r="W20" s="117" t="s">
        <v>21</v>
      </c>
      <c r="X20" s="117" t="s">
        <v>22</v>
      </c>
      <c r="Y20" s="117" t="s">
        <v>23</v>
      </c>
      <c r="Z20" s="117" t="s">
        <v>24</v>
      </c>
      <c r="AA20" s="117" t="s">
        <v>25</v>
      </c>
      <c r="AB20" s="117" t="s">
        <v>26</v>
      </c>
      <c r="AC20" s="117" t="s">
        <v>27</v>
      </c>
      <c r="AD20" s="117" t="s">
        <v>28</v>
      </c>
      <c r="AE20" s="117" t="s">
        <v>29</v>
      </c>
      <c r="AF20" s="117" t="s">
        <v>30</v>
      </c>
      <c r="AG20" s="117" t="s">
        <v>31</v>
      </c>
      <c r="AH20" s="117" t="s">
        <v>32</v>
      </c>
      <c r="AI20" s="117" t="s">
        <v>33</v>
      </c>
      <c r="AJ20" s="117" t="s">
        <v>2</v>
      </c>
      <c r="AK20" s="117" t="s">
        <v>34</v>
      </c>
      <c r="AL20" s="117" t="s">
        <v>35</v>
      </c>
      <c r="AM20" s="117" t="s">
        <v>36</v>
      </c>
      <c r="AN20" s="117" t="s">
        <v>3</v>
      </c>
      <c r="AO20" s="117" t="s">
        <v>148</v>
      </c>
    </row>
    <row r="21" spans="1:44">
      <c r="A21" s="3" t="s">
        <v>64</v>
      </c>
      <c r="B21" s="117"/>
      <c r="C21" s="123"/>
      <c r="D21" s="117"/>
      <c r="F21" s="70">
        <v>2</v>
      </c>
      <c r="G21" s="3" t="s">
        <v>64</v>
      </c>
      <c r="H21" s="117"/>
      <c r="I21" s="117"/>
      <c r="J21" s="117"/>
      <c r="K21" s="117"/>
      <c r="L21" s="117"/>
      <c r="M21" s="117"/>
      <c r="N21" s="117"/>
      <c r="O21" s="117"/>
      <c r="P21" s="117"/>
      <c r="Q21" s="117"/>
      <c r="R21" s="117"/>
      <c r="S21" s="117"/>
      <c r="T21" s="117"/>
      <c r="U21" s="117"/>
      <c r="V21" s="117"/>
      <c r="W21" s="117"/>
      <c r="X21" s="117"/>
      <c r="Y21" s="117"/>
      <c r="Z21" s="117"/>
      <c r="AA21" s="117"/>
      <c r="AB21" s="117"/>
      <c r="AC21" s="117"/>
      <c r="AD21" s="117"/>
      <c r="AE21" s="117"/>
      <c r="AF21" s="117"/>
      <c r="AG21" s="117"/>
      <c r="AH21" s="117"/>
      <c r="AI21" s="117"/>
      <c r="AJ21" s="117"/>
      <c r="AK21" s="117"/>
      <c r="AL21" s="117"/>
      <c r="AM21" s="117"/>
      <c r="AN21" s="117"/>
      <c r="AO21" s="117"/>
    </row>
    <row r="22" spans="1:44">
      <c r="F22" s="70">
        <v>3</v>
      </c>
    </row>
    <row r="23" spans="1:44">
      <c r="A23" s="5" t="s">
        <v>123</v>
      </c>
      <c r="B23" s="8">
        <f>+HLOOKUP($B$20,$G$20:$AR$27,F23,FALSE)</f>
        <v>444.9</v>
      </c>
      <c r="C23" s="8">
        <f>+HLOOKUP($C$20,$G$20:$AQ$27,F23,FALSE)</f>
        <v>412.45605507000005</v>
      </c>
      <c r="D23" s="46">
        <f>C23/B23-1</f>
        <v>-7.2924128860417881E-2</v>
      </c>
      <c r="F23" s="70">
        <v>4</v>
      </c>
      <c r="G23" s="5" t="s">
        <v>124</v>
      </c>
      <c r="H23" s="34"/>
      <c r="I23" s="34"/>
      <c r="J23" s="34"/>
      <c r="K23" s="34"/>
      <c r="L23" s="34"/>
      <c r="M23" s="34"/>
      <c r="N23" s="34"/>
      <c r="O23" s="34"/>
      <c r="P23" s="8">
        <v>378.24112093999997</v>
      </c>
      <c r="Q23" s="8">
        <v>383.03361709000001</v>
      </c>
      <c r="R23" s="8">
        <v>378.53295608000002</v>
      </c>
      <c r="S23" s="8">
        <v>362.88383331</v>
      </c>
      <c r="T23" s="8">
        <v>360.77624745000003</v>
      </c>
      <c r="U23" s="8">
        <v>361.36130248000001</v>
      </c>
      <c r="V23" s="8">
        <v>350.57789079999998</v>
      </c>
      <c r="W23" s="8">
        <v>354.02454993999999</v>
      </c>
      <c r="X23" s="8">
        <v>350.32716904</v>
      </c>
      <c r="Y23" s="8">
        <v>354.05027138999998</v>
      </c>
      <c r="Z23" s="8">
        <v>345.42533279000003</v>
      </c>
      <c r="AA23" s="8">
        <v>349.08628279999994</v>
      </c>
      <c r="AB23" s="8">
        <v>339.90893800999993</v>
      </c>
      <c r="AC23" s="8">
        <v>468.84071018999998</v>
      </c>
      <c r="AD23" s="8">
        <v>457.15983081000002</v>
      </c>
      <c r="AE23" s="8">
        <v>459.26191867999995</v>
      </c>
      <c r="AF23" s="8">
        <v>467.17529721000005</v>
      </c>
      <c r="AG23" s="8">
        <v>472.33425562999997</v>
      </c>
      <c r="AH23" s="8">
        <v>458.54614094999999</v>
      </c>
      <c r="AI23" s="8">
        <f>+'[3]Carp Dir'!$I$4+'[3]Carp Dir'!$I$12</f>
        <v>459.55068038999997</v>
      </c>
      <c r="AJ23" s="8">
        <v>443.4</v>
      </c>
      <c r="AK23" s="8">
        <v>444.9</v>
      </c>
      <c r="AL23" s="8">
        <v>428.2660204</v>
      </c>
      <c r="AM23" s="8">
        <v>429.57719356000001</v>
      </c>
      <c r="AN23" s="8">
        <f>+'[2]01.BALANCE'!$S$3+'[2]01.BALANCE'!$S$11</f>
        <v>411.36103896999998</v>
      </c>
      <c r="AO23" s="8">
        <v>412.45605507000005</v>
      </c>
    </row>
    <row r="24" spans="1:44">
      <c r="A24" s="5" t="s">
        <v>125</v>
      </c>
      <c r="B24" s="8">
        <f t="shared" ref="B24:B27" si="17">+HLOOKUP($B$20,$G$20:$AR$27,F24,FALSE)</f>
        <v>33.105058530000001</v>
      </c>
      <c r="C24" s="8">
        <f t="shared" ref="C24:C27" si="18">+HLOOKUP($C$20,$G$20:$AQ$27,F24,FALSE)</f>
        <v>39.155071289971971</v>
      </c>
      <c r="D24" s="46">
        <f t="shared" ref="D24:D27" si="19">C24/B24-1</f>
        <v>0.18275191250574019</v>
      </c>
      <c r="F24" s="70">
        <v>5</v>
      </c>
      <c r="G24" s="5" t="s">
        <v>125</v>
      </c>
      <c r="H24" s="34"/>
      <c r="I24" s="34"/>
      <c r="J24" s="34"/>
      <c r="K24" s="34"/>
      <c r="L24" s="34"/>
      <c r="M24" s="34"/>
      <c r="N24" s="34"/>
      <c r="O24" s="34"/>
      <c r="P24" s="8">
        <v>20.63219316</v>
      </c>
      <c r="Q24" s="8">
        <v>26.780675710000001</v>
      </c>
      <c r="R24" s="8">
        <v>42.75403962</v>
      </c>
      <c r="S24" s="8">
        <v>22.031641610000001</v>
      </c>
      <c r="T24" s="8">
        <v>38.979379139999999</v>
      </c>
      <c r="U24" s="8">
        <v>37.818563949999998</v>
      </c>
      <c r="V24" s="8">
        <v>43.233564700000002</v>
      </c>
      <c r="W24" s="8">
        <v>52.868302270000001</v>
      </c>
      <c r="X24" s="8">
        <v>40.557920690000003</v>
      </c>
      <c r="Y24" s="8">
        <v>52.415248669999997</v>
      </c>
      <c r="Z24" s="8">
        <v>46.437148880000002</v>
      </c>
      <c r="AA24" s="8">
        <v>23.703605549999995</v>
      </c>
      <c r="AB24" s="8">
        <v>13.024790019999999</v>
      </c>
      <c r="AC24" s="8">
        <v>17.493595700000004</v>
      </c>
      <c r="AD24" s="8">
        <v>13.350601600000001</v>
      </c>
      <c r="AE24" s="8">
        <v>23.76704196</v>
      </c>
      <c r="AF24" s="8">
        <v>28.67485688</v>
      </c>
      <c r="AG24" s="8">
        <v>41.006628720000002</v>
      </c>
      <c r="AH24" s="8">
        <v>27.388743770000005</v>
      </c>
      <c r="AI24" s="8">
        <f>+'[3]Carp Dir'!$D$4</f>
        <v>28.840882880000002</v>
      </c>
      <c r="AJ24" s="8">
        <v>21.843691669999998</v>
      </c>
      <c r="AK24" s="8">
        <v>33.105058530000001</v>
      </c>
      <c r="AL24" s="8">
        <v>21.281165947678915</v>
      </c>
      <c r="AM24" s="8">
        <v>27.868612689999999</v>
      </c>
      <c r="AN24" s="8">
        <f>+'[2]01.BALANCE'!$R$3</f>
        <v>21.9</v>
      </c>
      <c r="AO24" s="8">
        <v>39.155071289971971</v>
      </c>
    </row>
    <row r="25" spans="1:44">
      <c r="A25" s="5" t="s">
        <v>126</v>
      </c>
      <c r="B25" s="8">
        <f t="shared" si="17"/>
        <v>411.79494146999997</v>
      </c>
      <c r="C25" s="87">
        <f t="shared" si="18"/>
        <v>373.3009837800281</v>
      </c>
      <c r="D25" s="46">
        <f t="shared" si="19"/>
        <v>-9.3478461761959841E-2</v>
      </c>
      <c r="F25" s="70">
        <v>6</v>
      </c>
      <c r="G25" s="5" t="s">
        <v>126</v>
      </c>
      <c r="H25" s="34"/>
      <c r="I25" s="34"/>
      <c r="J25" s="34"/>
      <c r="K25" s="34"/>
      <c r="L25" s="34"/>
      <c r="M25" s="34"/>
      <c r="N25" s="34"/>
      <c r="O25" s="34"/>
      <c r="P25" s="8">
        <f>P23-P24</f>
        <v>357.60892777999999</v>
      </c>
      <c r="Q25" s="8">
        <f t="shared" ref="Q25:V25" si="20">Q23-Q24</f>
        <v>356.25294137999998</v>
      </c>
      <c r="R25" s="8">
        <f t="shared" si="20"/>
        <v>335.77891646</v>
      </c>
      <c r="S25" s="8">
        <f t="shared" si="20"/>
        <v>340.85219169999999</v>
      </c>
      <c r="T25" s="8">
        <f t="shared" si="20"/>
        <v>321.79686831000004</v>
      </c>
      <c r="U25" s="8">
        <f>U23-U24</f>
        <v>323.54273853000001</v>
      </c>
      <c r="V25" s="8">
        <f t="shared" si="20"/>
        <v>307.34432609999999</v>
      </c>
      <c r="W25" s="8">
        <f t="shared" ref="W25:X25" si="21">W23-W24</f>
        <v>301.15624766999997</v>
      </c>
      <c r="X25" s="8">
        <f t="shared" si="21"/>
        <v>309.76924835</v>
      </c>
      <c r="Y25" s="8">
        <f t="shared" ref="Y25:Z25" si="22">Y23-Y24</f>
        <v>301.63502271999999</v>
      </c>
      <c r="Z25" s="8">
        <f t="shared" si="22"/>
        <v>298.98818391000003</v>
      </c>
      <c r="AA25" s="8">
        <v>325.38267724999997</v>
      </c>
      <c r="AB25" s="8">
        <f t="shared" ref="AB25:AG25" si="23">+AB23-AB24</f>
        <v>326.88414798999992</v>
      </c>
      <c r="AC25" s="8">
        <f t="shared" si="23"/>
        <v>451.34711448999997</v>
      </c>
      <c r="AD25" s="8">
        <f t="shared" si="23"/>
        <v>443.80922921000001</v>
      </c>
      <c r="AE25" s="8">
        <f t="shared" si="23"/>
        <v>435.49487671999998</v>
      </c>
      <c r="AF25" s="8">
        <f t="shared" si="23"/>
        <v>438.50044033000006</v>
      </c>
      <c r="AG25" s="8">
        <f t="shared" si="23"/>
        <v>431.32762690999999</v>
      </c>
      <c r="AH25" s="8">
        <v>431.15739717999998</v>
      </c>
      <c r="AI25" s="8">
        <f t="shared" ref="AI25:AO25" si="24">+AI23-AI24</f>
        <v>430.70979750999999</v>
      </c>
      <c r="AJ25" s="8">
        <f t="shared" si="24"/>
        <v>421.55630832999998</v>
      </c>
      <c r="AK25" s="8">
        <f t="shared" si="24"/>
        <v>411.79494146999997</v>
      </c>
      <c r="AL25" s="8">
        <f t="shared" si="24"/>
        <v>406.98485445232109</v>
      </c>
      <c r="AM25" s="8">
        <f t="shared" si="24"/>
        <v>401.70858086999999</v>
      </c>
      <c r="AN25" s="8">
        <f t="shared" si="24"/>
        <v>389.46103897</v>
      </c>
      <c r="AO25" s="8">
        <f t="shared" si="24"/>
        <v>373.3009837800281</v>
      </c>
    </row>
    <row r="26" spans="1:44">
      <c r="A26" s="5" t="s">
        <v>127</v>
      </c>
      <c r="B26" s="8">
        <f t="shared" si="17"/>
        <v>63.318479580000002</v>
      </c>
      <c r="C26" s="8">
        <f t="shared" si="18"/>
        <v>84.790058539999976</v>
      </c>
      <c r="D26" s="46">
        <f t="shared" si="19"/>
        <v>0.33910446211633394</v>
      </c>
      <c r="F26" s="70">
        <v>7</v>
      </c>
      <c r="G26" s="5" t="s">
        <v>127</v>
      </c>
      <c r="H26" s="34"/>
      <c r="I26" s="34"/>
      <c r="J26" s="34"/>
      <c r="K26" s="34"/>
      <c r="L26" s="34"/>
      <c r="M26" s="34"/>
      <c r="N26" s="34"/>
      <c r="O26" s="34"/>
      <c r="P26" s="8">
        <v>52.496359250000012</v>
      </c>
      <c r="Q26" s="8">
        <v>43.236194240000017</v>
      </c>
      <c r="R26" s="8">
        <v>46.363594150000011</v>
      </c>
      <c r="S26" s="8">
        <f>SUM('Operating Income'!Q67:T67)</f>
        <v>56.038916260000008</v>
      </c>
      <c r="T26" s="8">
        <f>SUM('Operating Income'!R67:U67)</f>
        <v>50.73002218000002</v>
      </c>
      <c r="U26" s="8">
        <f>SUM('Operating Income'!S67:V67)</f>
        <v>52.520309130000015</v>
      </c>
      <c r="V26" s="8">
        <f>SUM('Operating Income'!T67:W67)</f>
        <v>49.897649080000001</v>
      </c>
      <c r="W26" s="8">
        <f>SUM('Operating Income'!U67:X67)</f>
        <v>53.585730650000002</v>
      </c>
      <c r="X26" s="8">
        <f>SUM('Operating Income'!V67:Y67)</f>
        <v>52.09403240999999</v>
      </c>
      <c r="Y26" s="8">
        <f>SUM('Operating Income'!W67:Z67)</f>
        <v>53.503672749999993</v>
      </c>
      <c r="Z26" s="8">
        <f>SUM('Operating Income'!X67:AA67)</f>
        <v>47.392068980000005</v>
      </c>
      <c r="AA26" s="8">
        <v>35.739567069999993</v>
      </c>
      <c r="AB26" s="8">
        <f>+SUM('Operating Income'!Z67:AC67)</f>
        <v>42.880847799999998</v>
      </c>
      <c r="AC26" s="8">
        <f>+SUM('Operating Income'!AA67:AD67)</f>
        <v>49.031741759999996</v>
      </c>
      <c r="AD26" s="8">
        <f>+SUM('Operating Income'!AB67:AE67)</f>
        <v>57.662942970000003</v>
      </c>
      <c r="AE26" s="8">
        <f>SUM('Operating Income'!AC67:AF67)</f>
        <v>69.930086569999986</v>
      </c>
      <c r="AF26" s="8">
        <v>76.863636579999991</v>
      </c>
      <c r="AG26" s="8">
        <f>+SUM('Operating Income'!AE67:AH67)</f>
        <v>68.089283949999995</v>
      </c>
      <c r="AH26" s="8">
        <f>+SUM('Operating Income'!AF67:AI67)</f>
        <v>67.756404210000014</v>
      </c>
      <c r="AI26" s="8">
        <v>65.112546980000005</v>
      </c>
      <c r="AJ26" s="8">
        <v>62.386580030000005</v>
      </c>
      <c r="AK26" s="8">
        <f>+SUM('Operating Income'!AI66:AL67)</f>
        <v>63.318479580000002</v>
      </c>
      <c r="AL26" s="8">
        <v>67.524850399999991</v>
      </c>
      <c r="AM26" s="8">
        <v>69.527732159999999</v>
      </c>
      <c r="AN26" s="8">
        <f>+SUM('Operating Income'!AL67:AO67)</f>
        <v>77.495678689999977</v>
      </c>
      <c r="AO26" s="8">
        <f>+SUM('Operating Income'!AM67:AP67)</f>
        <v>84.790058539999976</v>
      </c>
    </row>
    <row r="27" spans="1:44">
      <c r="A27" s="5" t="s">
        <v>128</v>
      </c>
      <c r="B27" s="8">
        <f t="shared" si="17"/>
        <v>6.503550688542922</v>
      </c>
      <c r="C27" s="8">
        <f t="shared" si="18"/>
        <v>4.4026503838763382</v>
      </c>
      <c r="D27" s="46">
        <f t="shared" si="19"/>
        <v>-0.32303896829276146</v>
      </c>
      <c r="F27" s="70">
        <v>8</v>
      </c>
      <c r="G27" s="5" t="s">
        <v>128</v>
      </c>
      <c r="H27" s="34"/>
      <c r="I27" s="34"/>
      <c r="J27" s="34"/>
      <c r="K27" s="34"/>
      <c r="L27" s="34"/>
      <c r="M27" s="34"/>
      <c r="N27" s="34"/>
      <c r="O27" s="34"/>
      <c r="P27" s="8">
        <f t="shared" ref="P27" si="25">P25/P26</f>
        <v>6.812071025287338</v>
      </c>
      <c r="Q27" s="8">
        <f t="shared" ref="Q27" si="26">Q25/Q26</f>
        <v>8.2396924068402893</v>
      </c>
      <c r="R27" s="8">
        <f t="shared" ref="R27" si="27">R25/R26</f>
        <v>7.2422969490599751</v>
      </c>
      <c r="S27" s="8">
        <f t="shared" ref="S27:V27" si="28">S25/S26</f>
        <v>6.082419405089329</v>
      </c>
      <c r="T27" s="8">
        <f t="shared" si="28"/>
        <v>6.3433220503669787</v>
      </c>
      <c r="U27" s="8">
        <f t="shared" si="28"/>
        <v>6.1603357613367482</v>
      </c>
      <c r="V27" s="8">
        <f t="shared" si="28"/>
        <v>6.1594951218491349</v>
      </c>
      <c r="W27" s="8">
        <f t="shared" ref="W27:X27" si="29">W25/W26</f>
        <v>5.6200828843228612</v>
      </c>
      <c r="X27" s="8">
        <f t="shared" si="29"/>
        <v>5.9463480559922361</v>
      </c>
      <c r="Y27" s="8">
        <f t="shared" ref="Y27" si="30">Y25/Y26</f>
        <v>5.6376507857584421</v>
      </c>
      <c r="Z27" s="8">
        <f>Z25/Z26</f>
        <v>6.3088231922555744</v>
      </c>
      <c r="AA27" s="8">
        <f>AA25/AA26</f>
        <v>9.1042702507476125</v>
      </c>
      <c r="AB27" s="8">
        <f t="shared" ref="AB27:AH27" si="31">+AB25/AB26</f>
        <v>7.6230803438079393</v>
      </c>
      <c r="AC27" s="8">
        <f t="shared" si="31"/>
        <v>9.2052025542810334</v>
      </c>
      <c r="AD27" s="8">
        <f t="shared" si="31"/>
        <v>7.6966107928431313</v>
      </c>
      <c r="AE27" s="8">
        <f t="shared" si="31"/>
        <v>6.2275752552382411</v>
      </c>
      <c r="AF27" s="8">
        <f t="shared" si="31"/>
        <v>5.7049140509193448</v>
      </c>
      <c r="AG27" s="8">
        <f t="shared" si="31"/>
        <v>6.3347358334203783</v>
      </c>
      <c r="AH27" s="8">
        <f t="shared" si="31"/>
        <v>6.363345313362518</v>
      </c>
      <c r="AI27" s="8">
        <f t="shared" ref="AI27:AO27" si="32">+AI25/AI26</f>
        <v>6.6148510154624569</v>
      </c>
      <c r="AJ27" s="8">
        <f t="shared" si="32"/>
        <v>6.7571632894011024</v>
      </c>
      <c r="AK27" s="8">
        <f t="shared" si="32"/>
        <v>6.503550688542922</v>
      </c>
      <c r="AL27" s="8">
        <f t="shared" si="32"/>
        <v>6.0271863179473426</v>
      </c>
      <c r="AM27" s="8">
        <f t="shared" si="32"/>
        <v>5.777674150877985</v>
      </c>
      <c r="AN27" s="8">
        <f t="shared" si="32"/>
        <v>5.0255839493700174</v>
      </c>
      <c r="AO27" s="8">
        <f t="shared" si="32"/>
        <v>4.4026503838763382</v>
      </c>
    </row>
    <row r="29" spans="1:44">
      <c r="G29" s="1" t="s">
        <v>129</v>
      </c>
      <c r="R29" s="33"/>
      <c r="S29" s="33"/>
      <c r="T29" s="33"/>
      <c r="U29" s="33"/>
      <c r="V29" s="33"/>
      <c r="W29" s="33"/>
      <c r="X29" s="54"/>
      <c r="Y29" s="54"/>
      <c r="Z29" s="54"/>
      <c r="AA29" s="54"/>
      <c r="AB29" s="54"/>
      <c r="AC29" s="54"/>
      <c r="AD29" s="54"/>
      <c r="AE29" s="54"/>
      <c r="AF29" s="54"/>
      <c r="AG29" s="54"/>
      <c r="AH29" s="54"/>
      <c r="AI29" s="54"/>
      <c r="AJ29" s="54"/>
      <c r="AK29" s="54"/>
      <c r="AL29" s="54"/>
      <c r="AM29" s="54"/>
      <c r="AN29" s="54"/>
    </row>
    <row r="30" spans="1:44">
      <c r="B30" s="52"/>
    </row>
    <row r="31" spans="1:44" ht="119.25" customHeight="1">
      <c r="A31" s="124" t="s">
        <v>130</v>
      </c>
      <c r="B31" s="124"/>
      <c r="C31" s="124"/>
      <c r="D31" s="124"/>
    </row>
  </sheetData>
  <mergeCells count="75">
    <mergeCell ref="AO6:AO7"/>
    <mergeCell ref="AO20:AO21"/>
    <mergeCell ref="AN6:AN7"/>
    <mergeCell ref="AN20:AN21"/>
    <mergeCell ref="A31:D31"/>
    <mergeCell ref="P6:P7"/>
    <mergeCell ref="W6:W7"/>
    <mergeCell ref="W20:W21"/>
    <mergeCell ref="S6:S7"/>
    <mergeCell ref="T6:T7"/>
    <mergeCell ref="U6:U7"/>
    <mergeCell ref="V6:V7"/>
    <mergeCell ref="Q6:Q7"/>
    <mergeCell ref="R6:R7"/>
    <mergeCell ref="U20:U21"/>
    <mergeCell ref="V20:V21"/>
    <mergeCell ref="H6:H7"/>
    <mergeCell ref="H20:H21"/>
    <mergeCell ref="I6:I7"/>
    <mergeCell ref="J6:J7"/>
    <mergeCell ref="K6:K7"/>
    <mergeCell ref="I20:I21"/>
    <mergeCell ref="J20:J21"/>
    <mergeCell ref="K20:K21"/>
    <mergeCell ref="B6:B7"/>
    <mergeCell ref="C6:C7"/>
    <mergeCell ref="D6:D7"/>
    <mergeCell ref="B20:B21"/>
    <mergeCell ref="C20:C21"/>
    <mergeCell ref="D20:D21"/>
    <mergeCell ref="L20:L21"/>
    <mergeCell ref="M20:M21"/>
    <mergeCell ref="N20:N21"/>
    <mergeCell ref="M6:M7"/>
    <mergeCell ref="N6:N7"/>
    <mergeCell ref="L6:L7"/>
    <mergeCell ref="R20:R21"/>
    <mergeCell ref="S20:S21"/>
    <mergeCell ref="O20:O21"/>
    <mergeCell ref="P20:P21"/>
    <mergeCell ref="Q20:Q21"/>
    <mergeCell ref="O6:O7"/>
    <mergeCell ref="X6:X7"/>
    <mergeCell ref="X20:X21"/>
    <mergeCell ref="T20:T21"/>
    <mergeCell ref="AD6:AD7"/>
    <mergeCell ref="AD20:AD21"/>
    <mergeCell ref="AC6:AC7"/>
    <mergeCell ref="AC20:AC21"/>
    <mergeCell ref="AB6:AB7"/>
    <mergeCell ref="AB20:AB21"/>
    <mergeCell ref="Z6:Z7"/>
    <mergeCell ref="Z20:Z21"/>
    <mergeCell ref="Y6:Y7"/>
    <mergeCell ref="Y20:Y21"/>
    <mergeCell ref="AA6:AA7"/>
    <mergeCell ref="AA20:AA21"/>
    <mergeCell ref="AF6:AF7"/>
    <mergeCell ref="AF20:AF21"/>
    <mergeCell ref="AE20:AE21"/>
    <mergeCell ref="AE6:AE7"/>
    <mergeCell ref="AH6:AH7"/>
    <mergeCell ref="AH20:AH21"/>
    <mergeCell ref="AG6:AG7"/>
    <mergeCell ref="AG20:AG21"/>
    <mergeCell ref="AI6:AI7"/>
    <mergeCell ref="AI20:AI21"/>
    <mergeCell ref="AM6:AM7"/>
    <mergeCell ref="AM20:AM21"/>
    <mergeCell ref="AK6:AK7"/>
    <mergeCell ref="AK20:AK21"/>
    <mergeCell ref="AJ6:AJ7"/>
    <mergeCell ref="AJ20:AJ21"/>
    <mergeCell ref="AL6:AL7"/>
    <mergeCell ref="AL20:AL21"/>
  </mergeCells>
  <pageMargins left="0.7" right="0.7" top="0.75" bottom="0.75" header="0.3" footer="0.3"/>
  <pageSetup orientation="portrait" r:id="rId1"/>
  <ignoredErrors>
    <ignoredError sqref="AK11" formula="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4:N22"/>
  <sheetViews>
    <sheetView zoomScale="90" zoomScaleNormal="90" workbookViewId="0">
      <selection activeCell="F27" sqref="F27"/>
    </sheetView>
  </sheetViews>
  <sheetFormatPr baseColWidth="10" defaultColWidth="11.42578125" defaultRowHeight="15"/>
  <cols>
    <col min="1" max="1" width="27.28515625" style="47" customWidth="1"/>
    <col min="2" max="3" width="7.85546875" style="47" hidden="1" customWidth="1"/>
    <col min="4" max="14" width="7.85546875" style="47" customWidth="1"/>
    <col min="15" max="17" width="8" style="47" customWidth="1"/>
    <col min="18" max="16384" width="11.42578125" style="47"/>
  </cols>
  <sheetData>
    <row r="4" spans="1:14" ht="23.25">
      <c r="A4" s="12" t="s">
        <v>0</v>
      </c>
      <c r="B4" s="13"/>
      <c r="C4" s="13"/>
      <c r="D4" s="13"/>
      <c r="E4" s="13"/>
      <c r="F4" s="13"/>
      <c r="G4" s="13"/>
      <c r="H4" s="13"/>
      <c r="I4" s="13"/>
      <c r="J4" s="13"/>
      <c r="K4" s="13"/>
      <c r="L4" s="13"/>
      <c r="M4" s="13"/>
      <c r="N4" s="13"/>
    </row>
    <row r="5" spans="1:14" ht="14.25" customHeight="1">
      <c r="A5" s="1"/>
      <c r="B5" s="1"/>
    </row>
    <row r="6" spans="1:14">
      <c r="A6" s="3" t="s">
        <v>131</v>
      </c>
      <c r="B6" s="117">
        <v>2018</v>
      </c>
      <c r="C6" s="117">
        <v>2021</v>
      </c>
      <c r="D6" s="117">
        <v>2022</v>
      </c>
      <c r="E6" s="117">
        <v>2023</v>
      </c>
      <c r="F6" s="117">
        <v>2024</v>
      </c>
      <c r="G6" s="117">
        <v>2025</v>
      </c>
      <c r="H6" s="117">
        <v>2026</v>
      </c>
      <c r="I6" s="117">
        <v>2027</v>
      </c>
      <c r="J6" s="117">
        <v>2028</v>
      </c>
      <c r="K6" s="117">
        <v>2029</v>
      </c>
      <c r="L6" s="117">
        <v>2030</v>
      </c>
      <c r="M6" s="117">
        <v>2031</v>
      </c>
      <c r="N6" s="117">
        <v>2032</v>
      </c>
    </row>
    <row r="7" spans="1:14">
      <c r="A7" s="3" t="s">
        <v>64</v>
      </c>
      <c r="B7" s="117"/>
      <c r="C7" s="117"/>
      <c r="D7" s="117"/>
      <c r="E7" s="117"/>
      <c r="F7" s="117"/>
      <c r="G7" s="117"/>
      <c r="H7" s="117"/>
      <c r="I7" s="117"/>
      <c r="J7" s="117"/>
      <c r="K7" s="117"/>
      <c r="L7" s="117"/>
      <c r="M7" s="117"/>
      <c r="N7" s="117"/>
    </row>
    <row r="8" spans="1:14" ht="8.25" customHeight="1">
      <c r="A8" s="1"/>
      <c r="B8" s="1"/>
    </row>
    <row r="9" spans="1:14" ht="16.5">
      <c r="A9" s="5" t="s">
        <v>132</v>
      </c>
      <c r="B9" s="7">
        <v>0</v>
      </c>
      <c r="C9" s="92"/>
      <c r="D9" s="92"/>
      <c r="E9" s="92"/>
      <c r="F9" s="92">
        <v>157</v>
      </c>
      <c r="G9" s="92">
        <v>0</v>
      </c>
      <c r="H9" s="92">
        <v>0</v>
      </c>
      <c r="I9" s="92">
        <v>500</v>
      </c>
      <c r="J9" s="92">
        <v>0</v>
      </c>
      <c r="K9" s="92">
        <v>0</v>
      </c>
      <c r="L9" s="92">
        <v>500</v>
      </c>
      <c r="M9" s="92">
        <v>0</v>
      </c>
      <c r="N9" s="92">
        <v>600</v>
      </c>
    </row>
    <row r="14" spans="1:14" ht="23.25">
      <c r="A14" s="12" t="s">
        <v>57</v>
      </c>
      <c r="B14" s="13"/>
      <c r="C14" s="13"/>
      <c r="D14" s="13"/>
      <c r="E14" s="13"/>
      <c r="F14" s="13"/>
      <c r="G14" s="13"/>
      <c r="H14" s="13"/>
      <c r="I14" s="13"/>
      <c r="J14" s="13"/>
      <c r="K14" s="13"/>
      <c r="L14" s="13"/>
      <c r="M14" s="13"/>
      <c r="N14" s="13"/>
    </row>
    <row r="15" spans="1:14" ht="13.5" customHeight="1">
      <c r="A15" s="1"/>
      <c r="B15" s="1"/>
    </row>
    <row r="16" spans="1:14">
      <c r="A16" s="3" t="s">
        <v>131</v>
      </c>
      <c r="B16" s="117">
        <v>2018</v>
      </c>
      <c r="C16" s="117">
        <v>2021</v>
      </c>
      <c r="D16" s="117">
        <v>2022</v>
      </c>
      <c r="E16" s="117">
        <v>2023</v>
      </c>
      <c r="F16" s="117">
        <v>2024</v>
      </c>
      <c r="G16" s="117">
        <v>2025</v>
      </c>
      <c r="H16" s="117">
        <v>2026</v>
      </c>
      <c r="I16" s="117">
        <v>2027</v>
      </c>
      <c r="J16" s="121">
        <v>2028</v>
      </c>
      <c r="K16" s="117">
        <v>2029</v>
      </c>
      <c r="L16" s="117">
        <v>2030</v>
      </c>
      <c r="M16" s="73"/>
      <c r="N16" s="73"/>
    </row>
    <row r="17" spans="1:14">
      <c r="A17" s="3" t="s">
        <v>64</v>
      </c>
      <c r="B17" s="117"/>
      <c r="C17" s="117"/>
      <c r="D17" s="117"/>
      <c r="E17" s="117"/>
      <c r="F17" s="117"/>
      <c r="G17" s="117"/>
      <c r="H17" s="117"/>
      <c r="I17" s="117"/>
      <c r="J17" s="121"/>
      <c r="K17" s="117"/>
      <c r="L17" s="117"/>
      <c r="M17" s="73"/>
      <c r="N17" s="73"/>
    </row>
    <row r="18" spans="1:14">
      <c r="A18" s="1"/>
      <c r="B18" s="1"/>
    </row>
    <row r="19" spans="1:14" ht="16.5">
      <c r="A19" s="5" t="s">
        <v>133</v>
      </c>
      <c r="B19" s="7">
        <v>0</v>
      </c>
      <c r="C19" s="91"/>
      <c r="D19" s="91">
        <v>14</v>
      </c>
      <c r="E19" s="91">
        <v>28</v>
      </c>
      <c r="F19" s="91">
        <v>24</v>
      </c>
      <c r="G19" s="91">
        <v>16</v>
      </c>
      <c r="H19" s="91">
        <v>18</v>
      </c>
      <c r="I19" s="91">
        <v>168</v>
      </c>
      <c r="J19" s="57">
        <v>0</v>
      </c>
      <c r="K19" s="57">
        <v>0</v>
      </c>
      <c r="L19" s="57">
        <v>0</v>
      </c>
      <c r="M19" s="57"/>
      <c r="N19" s="57"/>
    </row>
    <row r="22" spans="1:14">
      <c r="A22" s="1" t="s">
        <v>134</v>
      </c>
      <c r="B22" s="1"/>
      <c r="C22" s="1"/>
      <c r="D22" s="1"/>
      <c r="E22" s="1"/>
      <c r="F22" s="1"/>
      <c r="G22" s="1"/>
      <c r="H22" s="1"/>
      <c r="I22" s="1"/>
    </row>
  </sheetData>
  <mergeCells count="24">
    <mergeCell ref="D16:D17"/>
    <mergeCell ref="L6:L7"/>
    <mergeCell ref="L16:L17"/>
    <mergeCell ref="K6:K7"/>
    <mergeCell ref="C6:C7"/>
    <mergeCell ref="D6:D7"/>
    <mergeCell ref="J6:J7"/>
    <mergeCell ref="I6:I7"/>
    <mergeCell ref="M6:M7"/>
    <mergeCell ref="N6:N7"/>
    <mergeCell ref="B6:B7"/>
    <mergeCell ref="J16:J17"/>
    <mergeCell ref="K16:K17"/>
    <mergeCell ref="F16:F17"/>
    <mergeCell ref="G16:G17"/>
    <mergeCell ref="H16:H17"/>
    <mergeCell ref="I16:I17"/>
    <mergeCell ref="E6:E7"/>
    <mergeCell ref="E16:E17"/>
    <mergeCell ref="F6:F7"/>
    <mergeCell ref="G6:G7"/>
    <mergeCell ref="H6:H7"/>
    <mergeCell ref="B16:B17"/>
    <mergeCell ref="C16:C17"/>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0"/>
  </sheetPr>
  <dimension ref="A4:AR40"/>
  <sheetViews>
    <sheetView topLeftCell="B1" zoomScale="80" zoomScaleNormal="80" workbookViewId="0">
      <selection activeCell="AM40" sqref="AM40"/>
    </sheetView>
  </sheetViews>
  <sheetFormatPr baseColWidth="10" defaultColWidth="11.42578125" defaultRowHeight="15"/>
  <cols>
    <col min="1" max="1" width="0" style="1" hidden="1" customWidth="1"/>
    <col min="2" max="2" width="57" style="1" customWidth="1"/>
    <col min="3" max="7" width="11.42578125" style="1"/>
    <col min="8" max="8" width="55.85546875" style="1" customWidth="1"/>
    <col min="9" max="36" width="11.42578125" style="1" customWidth="1"/>
    <col min="37" max="16384" width="11.42578125" style="1"/>
  </cols>
  <sheetData>
    <row r="4" spans="1:44" ht="23.25">
      <c r="B4" s="12" t="s">
        <v>0</v>
      </c>
      <c r="C4" s="13"/>
      <c r="D4" s="13"/>
      <c r="E4" s="13"/>
      <c r="H4" s="12" t="s">
        <v>0</v>
      </c>
      <c r="I4" s="13"/>
      <c r="J4" s="13"/>
      <c r="K4" s="13"/>
      <c r="L4" s="13"/>
      <c r="M4" s="13"/>
      <c r="N4" s="13"/>
      <c r="O4" s="13"/>
      <c r="P4" s="13"/>
      <c r="Q4" s="13"/>
      <c r="R4" s="13"/>
      <c r="S4" s="13"/>
      <c r="T4" s="13"/>
      <c r="U4" s="13"/>
      <c r="V4" s="13"/>
      <c r="W4" s="13"/>
      <c r="X4" s="13"/>
      <c r="Y4" s="13"/>
      <c r="Z4" s="13"/>
      <c r="AA4" s="13"/>
      <c r="AB4" s="13"/>
      <c r="AC4" s="13"/>
      <c r="AD4" s="13"/>
      <c r="AE4" s="13"/>
      <c r="AF4" s="13"/>
      <c r="AG4" s="13"/>
      <c r="AH4" s="13"/>
      <c r="AI4" s="13"/>
      <c r="AJ4" s="13"/>
      <c r="AK4" s="13"/>
      <c r="AL4" s="13"/>
      <c r="AM4" s="13"/>
      <c r="AN4" s="13"/>
      <c r="AO4" s="13"/>
      <c r="AP4" s="13"/>
    </row>
    <row r="6" spans="1:44">
      <c r="A6" s="1">
        <v>1</v>
      </c>
      <c r="B6" s="3" t="s">
        <v>135</v>
      </c>
      <c r="C6" s="117" t="s">
        <v>2</v>
      </c>
      <c r="D6" s="117" t="s">
        <v>3</v>
      </c>
      <c r="E6" s="117" t="s">
        <v>4</v>
      </c>
      <c r="H6" s="3" t="s">
        <v>135</v>
      </c>
      <c r="I6" s="117" t="s">
        <v>6</v>
      </c>
      <c r="J6" s="117" t="s">
        <v>7</v>
      </c>
      <c r="K6" s="117" t="s">
        <v>8</v>
      </c>
      <c r="L6" s="117" t="s">
        <v>9</v>
      </c>
      <c r="M6" s="117" t="s">
        <v>10</v>
      </c>
      <c r="N6" s="117" t="s">
        <v>11</v>
      </c>
      <c r="O6" s="117" t="s">
        <v>12</v>
      </c>
      <c r="P6" s="117" t="s">
        <v>13</v>
      </c>
      <c r="Q6" s="117" t="s">
        <v>14</v>
      </c>
      <c r="R6" s="117" t="s">
        <v>15</v>
      </c>
      <c r="S6" s="117" t="s">
        <v>16</v>
      </c>
      <c r="T6" s="117" t="s">
        <v>17</v>
      </c>
      <c r="U6" s="117" t="s">
        <v>18</v>
      </c>
      <c r="V6" s="117" t="s">
        <v>19</v>
      </c>
      <c r="W6" s="117" t="s">
        <v>20</v>
      </c>
      <c r="X6" s="117" t="s">
        <v>21</v>
      </c>
      <c r="Y6" s="117" t="s">
        <v>22</v>
      </c>
      <c r="Z6" s="117" t="s">
        <v>23</v>
      </c>
      <c r="AA6" s="117" t="s">
        <v>24</v>
      </c>
      <c r="AB6" s="117" t="s">
        <v>25</v>
      </c>
      <c r="AC6" s="117" t="s">
        <v>26</v>
      </c>
      <c r="AD6" s="117" t="s">
        <v>27</v>
      </c>
      <c r="AE6" s="117" t="s">
        <v>28</v>
      </c>
      <c r="AF6" s="117" t="s">
        <v>29</v>
      </c>
      <c r="AG6" s="117" t="s">
        <v>30</v>
      </c>
      <c r="AH6" s="117" t="s">
        <v>31</v>
      </c>
      <c r="AI6" s="117" t="s">
        <v>32</v>
      </c>
      <c r="AJ6" s="117" t="s">
        <v>33</v>
      </c>
      <c r="AK6" s="117" t="s">
        <v>2</v>
      </c>
      <c r="AL6" s="117" t="s">
        <v>34</v>
      </c>
      <c r="AM6" s="117" t="s">
        <v>35</v>
      </c>
      <c r="AN6" s="117" t="s">
        <v>36</v>
      </c>
      <c r="AO6" s="117" t="s">
        <v>3</v>
      </c>
      <c r="AP6" s="117" t="s">
        <v>148</v>
      </c>
    </row>
    <row r="7" spans="1:44">
      <c r="A7" s="1">
        <v>2</v>
      </c>
      <c r="B7" s="3" t="s">
        <v>64</v>
      </c>
      <c r="C7" s="117"/>
      <c r="D7" s="117"/>
      <c r="E7" s="117"/>
      <c r="H7" s="3" t="s">
        <v>64</v>
      </c>
      <c r="I7" s="117"/>
      <c r="J7" s="117"/>
      <c r="K7" s="117"/>
      <c r="L7" s="117"/>
      <c r="M7" s="117"/>
      <c r="N7" s="117"/>
      <c r="O7" s="117"/>
      <c r="P7" s="117"/>
      <c r="Q7" s="117"/>
      <c r="R7" s="117"/>
      <c r="S7" s="117"/>
      <c r="T7" s="117"/>
      <c r="U7" s="117"/>
      <c r="V7" s="117"/>
      <c r="W7" s="117"/>
      <c r="X7" s="117"/>
      <c r="Y7" s="117"/>
      <c r="Z7" s="117"/>
      <c r="AA7" s="117"/>
      <c r="AB7" s="117"/>
      <c r="AC7" s="117"/>
      <c r="AD7" s="117"/>
      <c r="AE7" s="117"/>
      <c r="AF7" s="117"/>
      <c r="AG7" s="117"/>
      <c r="AH7" s="117"/>
      <c r="AI7" s="117"/>
      <c r="AJ7" s="117"/>
      <c r="AK7" s="117"/>
      <c r="AL7" s="117"/>
      <c r="AM7" s="117"/>
      <c r="AN7" s="117"/>
      <c r="AO7" s="117"/>
      <c r="AP7" s="117"/>
    </row>
    <row r="8" spans="1:44">
      <c r="A8" s="1">
        <v>3</v>
      </c>
    </row>
    <row r="9" spans="1:44">
      <c r="A9" s="1">
        <v>4</v>
      </c>
      <c r="B9" s="6" t="s">
        <v>136</v>
      </c>
      <c r="C9" s="9">
        <f>+HLOOKUP($C$6,$H$6:$AU$18,A9,FALSE)</f>
        <v>905.47899842999993</v>
      </c>
      <c r="D9" s="9">
        <f>+HLOOKUP($D$6,$H$6:$AU$18,A9,FALSE)</f>
        <v>1391.2534867299998</v>
      </c>
      <c r="E9" s="38">
        <f>D9/C9-1</f>
        <v>0.53648344041361429</v>
      </c>
      <c r="H9" s="6" t="s">
        <v>137</v>
      </c>
      <c r="I9" s="19">
        <v>260.39999999999998</v>
      </c>
      <c r="J9" s="9">
        <f t="shared" ref="J9:AC9" si="0">+I18</f>
        <v>208.29999999999998</v>
      </c>
      <c r="K9" s="9">
        <f t="shared" si="0"/>
        <v>337.4</v>
      </c>
      <c r="L9" s="9">
        <f t="shared" si="0"/>
        <v>878.3</v>
      </c>
      <c r="M9" s="9">
        <f t="shared" si="0"/>
        <v>832.8</v>
      </c>
      <c r="N9" s="9">
        <f t="shared" si="0"/>
        <v>816.69999999999993</v>
      </c>
      <c r="O9" s="9">
        <f t="shared" si="0"/>
        <v>912.49099999999987</v>
      </c>
      <c r="P9" s="9">
        <f t="shared" si="0"/>
        <v>1090.6089999999999</v>
      </c>
      <c r="Q9" s="9">
        <f t="shared" si="0"/>
        <v>1080.8256289999999</v>
      </c>
      <c r="R9" s="9">
        <f t="shared" si="0"/>
        <v>1042.8013145999998</v>
      </c>
      <c r="S9" s="9">
        <f t="shared" si="0"/>
        <v>827.98442899999998</v>
      </c>
      <c r="T9" s="9">
        <f t="shared" si="0"/>
        <v>577.45219999999995</v>
      </c>
      <c r="U9" s="9">
        <f t="shared" si="0"/>
        <v>644.96532536999996</v>
      </c>
      <c r="V9" s="9">
        <f t="shared" si="0"/>
        <v>625.20732536999992</v>
      </c>
      <c r="W9" s="9">
        <f t="shared" si="0"/>
        <v>642.65332536999983</v>
      </c>
      <c r="X9" s="9">
        <f t="shared" si="0"/>
        <v>732.58632536999994</v>
      </c>
      <c r="Y9" s="9">
        <f t="shared" si="0"/>
        <v>757.34441991999984</v>
      </c>
      <c r="Z9" s="9">
        <f t="shared" si="0"/>
        <v>840.16941991999988</v>
      </c>
      <c r="AA9" s="9">
        <f t="shared" si="0"/>
        <v>643.25441991999992</v>
      </c>
      <c r="AB9" s="9">
        <f t="shared" si="0"/>
        <v>738.24441991999993</v>
      </c>
      <c r="AC9" s="9">
        <f t="shared" si="0"/>
        <v>764.4089199199999</v>
      </c>
      <c r="AD9" s="9">
        <f>+AC18</f>
        <v>802.70891991999986</v>
      </c>
      <c r="AE9" s="9">
        <f>667.31511992-AE28</f>
        <v>649.84441992000006</v>
      </c>
      <c r="AF9" s="9">
        <v>766.85041991999992</v>
      </c>
      <c r="AG9" s="9">
        <f>797.42039843-AG28</f>
        <v>773.64969842999994</v>
      </c>
      <c r="AH9" s="9">
        <f>+AG18</f>
        <v>951.04969842999992</v>
      </c>
      <c r="AI9" s="9">
        <f>+AH18</f>
        <v>813.14969842999994</v>
      </c>
      <c r="AJ9" s="9">
        <f>966.02039843-AJ28</f>
        <v>938.64969842999994</v>
      </c>
      <c r="AK9" s="9">
        <f>+AJ18-AK28</f>
        <v>905.47899842999993</v>
      </c>
      <c r="AL9" s="9">
        <f>1027.85236843-AL28</f>
        <v>1006.0806684300001</v>
      </c>
      <c r="AM9" s="9">
        <f>+AL18</f>
        <v>757.01755843000001</v>
      </c>
      <c r="AN9" s="9">
        <f>+AM18</f>
        <v>1864.68255843</v>
      </c>
      <c r="AO9" s="9">
        <v>1391.2534867299998</v>
      </c>
      <c r="AP9" s="9">
        <v>1175.0958348099998</v>
      </c>
    </row>
    <row r="10" spans="1:44" ht="8.25" customHeight="1">
      <c r="A10" s="1">
        <v>5</v>
      </c>
      <c r="I10" s="22"/>
      <c r="J10" s="22"/>
      <c r="K10" s="22"/>
      <c r="L10" s="22"/>
      <c r="M10" s="22"/>
      <c r="N10" s="22"/>
      <c r="O10" s="22"/>
      <c r="P10" s="22"/>
    </row>
    <row r="11" spans="1:44">
      <c r="A11" s="1">
        <v>6</v>
      </c>
      <c r="B11" s="5" t="s">
        <v>138</v>
      </c>
      <c r="C11" s="8">
        <f>+HLOOKUP($C$6,$H$6:$AO$18,A11,FALSE)</f>
        <v>96.825970000000012</v>
      </c>
      <c r="D11" s="8">
        <f>+HLOOKUP($D$6,$H$6:$AU$18,A11,FALSE)</f>
        <v>35.97561807999994</v>
      </c>
      <c r="E11" s="36">
        <f>+D11/C11-1</f>
        <v>-0.62845073403344232</v>
      </c>
      <c r="H11" s="5" t="s">
        <v>138</v>
      </c>
      <c r="I11" s="18">
        <v>83.1</v>
      </c>
      <c r="J11" s="18">
        <v>196.8</v>
      </c>
      <c r="K11" s="18">
        <v>148.9</v>
      </c>
      <c r="L11" s="18">
        <v>166.8</v>
      </c>
      <c r="M11" s="18">
        <v>77.2</v>
      </c>
      <c r="N11" s="18">
        <v>157.346</v>
      </c>
      <c r="O11" s="18">
        <v>235.101</v>
      </c>
      <c r="P11" s="18">
        <v>248.51662899999999</v>
      </c>
      <c r="Q11" s="8">
        <v>98.175600000000003</v>
      </c>
      <c r="R11" s="8">
        <v>151.8321</v>
      </c>
      <c r="S11" s="8">
        <v>100.69827099999998</v>
      </c>
      <c r="T11" s="8">
        <v>151.289929</v>
      </c>
      <c r="U11" s="8">
        <v>87.41</v>
      </c>
      <c r="V11" s="8">
        <v>118.98099999999998</v>
      </c>
      <c r="W11" s="8">
        <v>145.17400000000004</v>
      </c>
      <c r="X11" s="8">
        <v>172.24999999999994</v>
      </c>
      <c r="Y11" s="8">
        <v>121.57799999999999</v>
      </c>
      <c r="Z11" s="8">
        <v>83.737000000000023</v>
      </c>
      <c r="AA11" s="8">
        <v>134.78500000000003</v>
      </c>
      <c r="AB11" s="8">
        <f>144.4-AB30</f>
        <v>142.709</v>
      </c>
      <c r="AC11" s="8">
        <f>78.3-AC30</f>
        <v>74.899999999999991</v>
      </c>
      <c r="AD11" s="8">
        <v>154</v>
      </c>
      <c r="AE11" s="8">
        <f>165.004-AE30</f>
        <v>151.304</v>
      </c>
      <c r="AF11" s="8">
        <v>128.99599999999998</v>
      </c>
      <c r="AG11" s="8">
        <f>97.9-AG30</f>
        <v>89.4</v>
      </c>
      <c r="AH11" s="8">
        <f>95.4-AH30</f>
        <v>78.900000000000006</v>
      </c>
      <c r="AI11" s="8">
        <f>183.2-AI30</f>
        <v>154.19999999999999</v>
      </c>
      <c r="AJ11" s="8">
        <f>148.9-AJ30</f>
        <v>139.4</v>
      </c>
      <c r="AK11" s="8">
        <f>111.92597-AK30</f>
        <v>96.825970000000012</v>
      </c>
      <c r="AL11" s="8">
        <f>110.39889-AL30</f>
        <v>93.198890000000006</v>
      </c>
      <c r="AM11" s="8">
        <f>94.3-AM30</f>
        <v>73.920999999999992</v>
      </c>
      <c r="AN11" s="8">
        <f>17.9176956799996-AN30</f>
        <v>5.0966956799996019</v>
      </c>
      <c r="AO11" s="8">
        <v>35.97561807999994</v>
      </c>
      <c r="AP11" s="8">
        <v>-87.71665885000013</v>
      </c>
      <c r="AR11" s="54"/>
    </row>
    <row r="12" spans="1:44">
      <c r="A12" s="1">
        <v>7</v>
      </c>
      <c r="B12" s="5" t="s">
        <v>139</v>
      </c>
      <c r="C12" s="8">
        <f t="shared" ref="C12:C18" si="1">+HLOOKUP($C$6,$H$6:$AO$18,A12,FALSE)</f>
        <v>-14.065000000000001</v>
      </c>
      <c r="D12" s="8">
        <f>+HLOOKUP($D$6,$H$6:$AU$18,A12,FALSE)</f>
        <v>-213.036598</v>
      </c>
      <c r="E12" s="49">
        <f t="shared" ref="E12:E14" si="2">+D12/C12-1</f>
        <v>14.146576466405971</v>
      </c>
      <c r="H12" s="5" t="s">
        <v>140</v>
      </c>
      <c r="I12" s="8">
        <v>-83.1</v>
      </c>
      <c r="J12" s="8">
        <v>-47.1</v>
      </c>
      <c r="K12" s="8">
        <v>430.9</v>
      </c>
      <c r="L12" s="8">
        <v>-184</v>
      </c>
      <c r="M12" s="8">
        <v>-67.3</v>
      </c>
      <c r="N12" s="8">
        <v>-41.454999999999998</v>
      </c>
      <c r="O12" s="8">
        <v>-29.039999999999992</v>
      </c>
      <c r="P12" s="8">
        <v>-31.8</v>
      </c>
      <c r="Q12" s="8">
        <v>-73.321899999999999</v>
      </c>
      <c r="R12" s="8">
        <v>-333.88489999999996</v>
      </c>
      <c r="S12" s="8">
        <v>-281.13549999999998</v>
      </c>
      <c r="T12" s="8">
        <v>-20.301699999999993</v>
      </c>
      <c r="U12" s="8">
        <v>-71.287000000000006</v>
      </c>
      <c r="V12" s="8">
        <v>-73.373999999999995</v>
      </c>
      <c r="W12" s="8">
        <v>-26.250000000000018</v>
      </c>
      <c r="X12" s="8">
        <v>-133.18200000000002</v>
      </c>
      <c r="Y12" s="8">
        <v>-1.7210000000000001</v>
      </c>
      <c r="Z12" s="8">
        <v>-234.536</v>
      </c>
      <c r="AA12" s="8">
        <v>-11.242999999999999</v>
      </c>
      <c r="AB12" s="8">
        <f>+-117.3-AB31</f>
        <v>-143.55599999999998</v>
      </c>
      <c r="AC12" s="8">
        <f>+-36.1-AC31</f>
        <v>-22.200000000000003</v>
      </c>
      <c r="AD12" s="8">
        <v>-284.3</v>
      </c>
      <c r="AE12" s="8">
        <f>+-29.469-AE31</f>
        <v>-12.069000000000003</v>
      </c>
      <c r="AF12" s="8">
        <v>-124.13100000000001</v>
      </c>
      <c r="AG12" s="8">
        <f>105.7-AG31</f>
        <v>104.60000000000001</v>
      </c>
      <c r="AH12" s="8">
        <f>+-199.8-AH31</f>
        <v>-200.4</v>
      </c>
      <c r="AI12" s="8">
        <f>+-33.2-AI31</f>
        <v>-11.800000000000004</v>
      </c>
      <c r="AJ12" s="8">
        <f>+-119.2-AJ31</f>
        <v>-113.5</v>
      </c>
      <c r="AK12" s="8">
        <f>+-37.515-AK31</f>
        <v>-14.065000000000001</v>
      </c>
      <c r="AL12" s="8">
        <f>+-285.723-AL31</f>
        <v>-280.87299999999999</v>
      </c>
      <c r="AM12" s="8">
        <f>+-35.3-AM31</f>
        <v>-12.523999999999997</v>
      </c>
      <c r="AN12" s="8">
        <f>+-441.69185-AN31</f>
        <v>-437.06784999999996</v>
      </c>
      <c r="AO12" s="8">
        <v>-213.036598</v>
      </c>
      <c r="AP12" s="8">
        <v>-82.088413999999972</v>
      </c>
    </row>
    <row r="13" spans="1:44">
      <c r="A13" s="1">
        <v>8</v>
      </c>
      <c r="B13" s="5" t="s">
        <v>141</v>
      </c>
      <c r="C13" s="8">
        <f t="shared" si="1"/>
        <v>-11.397</v>
      </c>
      <c r="D13" s="8">
        <f>+HLOOKUP($D$6,$H$6:$AU$18,A13,FALSE)</f>
        <v>-41.212999999999994</v>
      </c>
      <c r="E13" s="49" t="s">
        <v>50</v>
      </c>
      <c r="H13" s="5" t="s">
        <v>142</v>
      </c>
      <c r="I13" s="8">
        <v>-48.027000000000001</v>
      </c>
      <c r="J13" s="8">
        <v>-18.8</v>
      </c>
      <c r="K13" s="8">
        <v>-20.3</v>
      </c>
      <c r="L13" s="8">
        <v>-33.9</v>
      </c>
      <c r="M13" s="8">
        <v>-26.3</v>
      </c>
      <c r="N13" s="8">
        <v>-19.755999999999997</v>
      </c>
      <c r="O13" s="8">
        <v>-22.811000000000007</v>
      </c>
      <c r="P13" s="8">
        <v>-225</v>
      </c>
      <c r="Q13" s="8">
        <v>-27.2916144</v>
      </c>
      <c r="R13" s="8">
        <v>-35.178085600000003</v>
      </c>
      <c r="S13" s="8">
        <v>-70.541000000000011</v>
      </c>
      <c r="T13" s="8">
        <v>-61.438103630000001</v>
      </c>
      <c r="U13" s="8">
        <v>-36.849000000000004</v>
      </c>
      <c r="V13" s="8">
        <v>-27.785000000000032</v>
      </c>
      <c r="W13" s="8">
        <v>-32.204999999999977</v>
      </c>
      <c r="X13" s="8">
        <v>-22.740905450000017</v>
      </c>
      <c r="Y13" s="8">
        <v>-40.059999999999995</v>
      </c>
      <c r="Z13" s="8">
        <v>-30.340000000000011</v>
      </c>
      <c r="AA13" s="8">
        <v>-25.699999999999989</v>
      </c>
      <c r="AB13" s="8">
        <f>+-18-AB32</f>
        <v>32.133000000000003</v>
      </c>
      <c r="AC13" s="8">
        <f>+-17.6-AC32</f>
        <v>-17.100000000000001</v>
      </c>
      <c r="AD13" s="8">
        <v>-18.999999999999996</v>
      </c>
      <c r="AE13" s="8">
        <f>+-17.163-AE32</f>
        <v>-17.062999999999999</v>
      </c>
      <c r="AF13" s="8">
        <v>3.2630000000000008</v>
      </c>
      <c r="AG13" s="8">
        <f>+-18.6-AG32</f>
        <v>-14.500000000000002</v>
      </c>
      <c r="AH13" s="8">
        <f>+-18.3-AH32</f>
        <v>-13.700000000000001</v>
      </c>
      <c r="AI13" s="8">
        <f>+-42.3-AI32</f>
        <v>-21.4</v>
      </c>
      <c r="AJ13" s="8">
        <f>+-38.7-AJ32</f>
        <v>-38.6</v>
      </c>
      <c r="AK13" s="8">
        <f>+-11.9-AK32</f>
        <v>-11.397</v>
      </c>
      <c r="AL13" s="8">
        <f>+-64.54-AL32</f>
        <v>-63.443000000000005</v>
      </c>
      <c r="AM13" s="8">
        <f>1047.2-AM32</f>
        <v>1055.52</v>
      </c>
      <c r="AN13" s="8">
        <f>+-41.573046-AN32</f>
        <v>-39.193045999999995</v>
      </c>
      <c r="AO13" s="8">
        <v>-41.212999999999994</v>
      </c>
      <c r="AP13" s="8">
        <v>-44.241773000000009</v>
      </c>
    </row>
    <row r="14" spans="1:44">
      <c r="A14" s="1">
        <v>9</v>
      </c>
      <c r="B14" s="20" t="s">
        <v>143</v>
      </c>
      <c r="C14" s="21">
        <f t="shared" si="1"/>
        <v>71.363970000000009</v>
      </c>
      <c r="D14" s="21">
        <f>+HLOOKUP($D$6,$H$6:$AU$18,A14,FALSE)</f>
        <v>-218.27397992000004</v>
      </c>
      <c r="E14" s="56">
        <f t="shared" si="2"/>
        <v>-4.0586019796824644</v>
      </c>
      <c r="H14" s="20" t="s">
        <v>143</v>
      </c>
      <c r="I14" s="21">
        <v>-48</v>
      </c>
      <c r="J14" s="21">
        <v>130.9</v>
      </c>
      <c r="K14" s="21">
        <v>559.4</v>
      </c>
      <c r="L14" s="21">
        <v>-51.099999999999987</v>
      </c>
      <c r="M14" s="21">
        <v>-16.399999999999995</v>
      </c>
      <c r="N14" s="21">
        <v>96.135000000000005</v>
      </c>
      <c r="O14" s="21">
        <v>183.25</v>
      </c>
      <c r="P14" s="21">
        <v>-8.2833710000000167</v>
      </c>
      <c r="Q14" s="21">
        <v>-2.4379144000000226</v>
      </c>
      <c r="R14" s="21">
        <f t="shared" ref="R14" si="3">SUM(R11:R13)</f>
        <v>-217.23088559999997</v>
      </c>
      <c r="S14" s="21">
        <f t="shared" ref="S14" si="4">SUM(S11:S13)</f>
        <v>-250.978229</v>
      </c>
      <c r="T14" s="21">
        <f t="shared" ref="T14" si="5">SUM(T11:T13)</f>
        <v>69.550125370000018</v>
      </c>
      <c r="U14" s="21">
        <f t="shared" ref="U14" si="6">SUM(U11:U13)</f>
        <v>-20.726000000000013</v>
      </c>
      <c r="V14" s="21">
        <f t="shared" ref="V14:W14" si="7">SUM(V11:V13)</f>
        <v>17.821999999999953</v>
      </c>
      <c r="W14" s="21">
        <f t="shared" si="7"/>
        <v>86.719000000000051</v>
      </c>
      <c r="X14" s="21">
        <f t="shared" ref="X14:AE14" si="8">SUM(X11:X13)</f>
        <v>16.327094549999909</v>
      </c>
      <c r="Y14" s="21">
        <f t="shared" si="8"/>
        <v>79.796999999999997</v>
      </c>
      <c r="Z14" s="21">
        <f t="shared" si="8"/>
        <v>-181.13899999999998</v>
      </c>
      <c r="AA14" s="21">
        <f t="shared" si="8"/>
        <v>97.842000000000041</v>
      </c>
      <c r="AB14" s="21">
        <f t="shared" si="8"/>
        <v>31.286000000000023</v>
      </c>
      <c r="AC14" s="21">
        <f t="shared" si="8"/>
        <v>35.599999999999987</v>
      </c>
      <c r="AD14" s="21">
        <f t="shared" si="8"/>
        <v>-149.30000000000001</v>
      </c>
      <c r="AE14" s="21">
        <f t="shared" si="8"/>
        <v>122.17200000000001</v>
      </c>
      <c r="AF14" s="21">
        <f t="shared" ref="AF14:AH14" si="9">SUM(AF11:AF13)</f>
        <v>8.1279999999999681</v>
      </c>
      <c r="AG14" s="21">
        <f t="shared" si="9"/>
        <v>179.5</v>
      </c>
      <c r="AH14" s="21">
        <f t="shared" si="9"/>
        <v>-135.19999999999999</v>
      </c>
      <c r="AI14" s="21">
        <f t="shared" ref="AI14:AM14" si="10">SUM(AI11:AI13)</f>
        <v>120.99999999999997</v>
      </c>
      <c r="AJ14" s="21">
        <f t="shared" si="10"/>
        <v>-12.699999999999996</v>
      </c>
      <c r="AK14" s="21">
        <f t="shared" si="10"/>
        <v>71.363970000000009</v>
      </c>
      <c r="AL14" s="21">
        <f t="shared" si="10"/>
        <v>-251.11711</v>
      </c>
      <c r="AM14" s="21">
        <f t="shared" si="10"/>
        <v>1116.9169999999999</v>
      </c>
      <c r="AN14" s="21">
        <f>SUM(AN11:AN13)</f>
        <v>-471.16420032000036</v>
      </c>
      <c r="AO14" s="21">
        <f>SUM(AO11:AO13)</f>
        <v>-218.27397992000004</v>
      </c>
      <c r="AP14" s="21">
        <f>SUM(AP11:AP13)</f>
        <v>-214.04684585000012</v>
      </c>
    </row>
    <row r="15" spans="1:44" ht="8.25" customHeight="1">
      <c r="A15" s="1">
        <v>10</v>
      </c>
      <c r="I15" s="22"/>
      <c r="J15" s="22"/>
      <c r="K15" s="22"/>
      <c r="L15" s="22"/>
      <c r="M15" s="22"/>
      <c r="N15" s="22"/>
      <c r="O15" s="22"/>
      <c r="P15" s="22"/>
    </row>
    <row r="16" spans="1:44">
      <c r="A16" s="1">
        <v>11</v>
      </c>
      <c r="B16" s="5" t="s">
        <v>144</v>
      </c>
      <c r="C16" s="8">
        <f t="shared" si="1"/>
        <v>-1.7330000000000001</v>
      </c>
      <c r="D16" s="8">
        <f>+HLOOKUP($D$6,$H$6:$AU$18,A16,FALSE)</f>
        <v>2.1163280000000002</v>
      </c>
      <c r="E16" s="49" t="s">
        <v>50</v>
      </c>
      <c r="H16" s="5" t="s">
        <v>144</v>
      </c>
      <c r="I16" s="8">
        <v>-4</v>
      </c>
      <c r="J16" s="8">
        <v>-1.8</v>
      </c>
      <c r="K16" s="8">
        <v>-18.600000000000001</v>
      </c>
      <c r="L16" s="8">
        <v>5.6</v>
      </c>
      <c r="M16" s="8">
        <v>0.3</v>
      </c>
      <c r="N16" s="8">
        <v>-0.34399999999999997</v>
      </c>
      <c r="O16" s="8">
        <v>-5.1320000000000006</v>
      </c>
      <c r="P16" s="8">
        <v>-1.5</v>
      </c>
      <c r="Q16" s="18">
        <v>6.6130000000000004</v>
      </c>
      <c r="R16" s="18">
        <v>2.4139999999999988</v>
      </c>
      <c r="S16" s="18">
        <v>0.44600000000000151</v>
      </c>
      <c r="T16" s="18">
        <v>-2.0370000000000008</v>
      </c>
      <c r="U16" s="18">
        <v>0.96800000000000008</v>
      </c>
      <c r="V16" s="8">
        <v>-0.37600000000000011</v>
      </c>
      <c r="W16" s="8">
        <v>3.2140000000000004</v>
      </c>
      <c r="X16" s="8">
        <v>8.4310000000000009</v>
      </c>
      <c r="Y16" s="8">
        <v>3.0279999999999996</v>
      </c>
      <c r="Z16" s="8">
        <v>-15.776</v>
      </c>
      <c r="AA16" s="8">
        <v>-2.8520000000000016</v>
      </c>
      <c r="AB16" s="8">
        <f>+-5.6-AB35</f>
        <v>-5.1214999999999993</v>
      </c>
      <c r="AC16" s="8">
        <f>3-AC35</f>
        <v>2.7</v>
      </c>
      <c r="AD16" s="8">
        <v>-3.6</v>
      </c>
      <c r="AE16" s="8">
        <f>+-5.466-AE35</f>
        <v>-5.1660000000000004</v>
      </c>
      <c r="AF16" s="8">
        <v>-1.4340000000000006</v>
      </c>
      <c r="AG16" s="8">
        <f>+-2.7-AG35</f>
        <v>-2.1</v>
      </c>
      <c r="AH16" s="8">
        <f>+-2.9-AH35</f>
        <v>-2.6999999999999997</v>
      </c>
      <c r="AI16" s="8">
        <f>4.2-AI35</f>
        <v>4.5</v>
      </c>
      <c r="AJ16" s="8">
        <f>10.4-AJ35</f>
        <v>10.5</v>
      </c>
      <c r="AK16" s="8">
        <f>+-2.079-AK35</f>
        <v>-1.7330000000000001</v>
      </c>
      <c r="AL16" s="8">
        <f>2.1-AL35</f>
        <v>2.0540000000000003</v>
      </c>
      <c r="AM16" s="8">
        <f>+-10.3-AM35</f>
        <v>-9.2520000000000007</v>
      </c>
      <c r="AN16" s="8">
        <f>+-1.419424-AN35</f>
        <v>-2.0174240000000001</v>
      </c>
      <c r="AO16" s="8">
        <v>2.1163280000000002</v>
      </c>
      <c r="AP16" s="8">
        <v>-10.414251</v>
      </c>
    </row>
    <row r="17" spans="1:44" ht="8.25" customHeight="1">
      <c r="A17" s="1">
        <v>12</v>
      </c>
      <c r="I17" s="22"/>
      <c r="J17" s="22"/>
      <c r="K17" s="22"/>
      <c r="L17" s="22"/>
      <c r="M17" s="22"/>
      <c r="N17" s="22"/>
      <c r="O17" s="22"/>
      <c r="P17" s="22"/>
    </row>
    <row r="18" spans="1:44">
      <c r="A18" s="1">
        <v>13</v>
      </c>
      <c r="B18" s="6" t="s">
        <v>145</v>
      </c>
      <c r="C18" s="9">
        <f t="shared" si="1"/>
        <v>975.10996842999998</v>
      </c>
      <c r="D18" s="9">
        <f>+HLOOKUP($D$6,$H$6:$AU$18,A18,FALSE)</f>
        <v>1175.0958348099998</v>
      </c>
      <c r="E18" s="11">
        <f>D18/C18-1</f>
        <v>0.20509057732431146</v>
      </c>
      <c r="H18" s="6" t="s">
        <v>145</v>
      </c>
      <c r="I18" s="19">
        <v>208.29999999999998</v>
      </c>
      <c r="J18" s="19">
        <v>337.4</v>
      </c>
      <c r="K18" s="19">
        <v>878.3</v>
      </c>
      <c r="L18" s="19">
        <v>832.8</v>
      </c>
      <c r="M18" s="19">
        <v>816.69999999999993</v>
      </c>
      <c r="N18" s="19">
        <v>912.49099999999987</v>
      </c>
      <c r="O18" s="19">
        <v>1090.6089999999999</v>
      </c>
      <c r="P18" s="19">
        <v>1080.8256289999999</v>
      </c>
      <c r="Q18" s="9">
        <v>1042.8013145999998</v>
      </c>
      <c r="R18" s="9">
        <v>827.98442899999998</v>
      </c>
      <c r="S18" s="9">
        <v>577.45219999999995</v>
      </c>
      <c r="T18" s="9">
        <v>644.96532536999996</v>
      </c>
      <c r="U18" s="9">
        <f t="shared" ref="U18:Z18" si="11">U16+U14+U9</f>
        <v>625.20732536999992</v>
      </c>
      <c r="V18" s="9">
        <f t="shared" si="11"/>
        <v>642.65332536999983</v>
      </c>
      <c r="W18" s="9">
        <f t="shared" si="11"/>
        <v>732.58632536999994</v>
      </c>
      <c r="X18" s="9">
        <f t="shared" si="11"/>
        <v>757.34441991999984</v>
      </c>
      <c r="Y18" s="9">
        <f t="shared" si="11"/>
        <v>840.16941991999988</v>
      </c>
      <c r="Z18" s="9">
        <f t="shared" si="11"/>
        <v>643.25441991999992</v>
      </c>
      <c r="AA18" s="9">
        <f t="shared" ref="AA18:AH18" si="12">AA16+AA14+AA9</f>
        <v>738.24441991999993</v>
      </c>
      <c r="AB18" s="9">
        <f t="shared" si="12"/>
        <v>764.4089199199999</v>
      </c>
      <c r="AC18" s="9">
        <f t="shared" si="12"/>
        <v>802.70891991999986</v>
      </c>
      <c r="AD18" s="9">
        <f t="shared" si="12"/>
        <v>649.80891991999988</v>
      </c>
      <c r="AE18" s="9">
        <f t="shared" si="12"/>
        <v>766.85041992000004</v>
      </c>
      <c r="AF18" s="9">
        <f t="shared" si="12"/>
        <v>773.54441991999988</v>
      </c>
      <c r="AG18" s="9">
        <f t="shared" si="12"/>
        <v>951.04969842999992</v>
      </c>
      <c r="AH18" s="9">
        <f t="shared" si="12"/>
        <v>813.14969842999994</v>
      </c>
      <c r="AI18" s="9">
        <f t="shared" ref="AI18:AP18" si="13">AI16+AI14+AI9</f>
        <v>938.64969842999994</v>
      </c>
      <c r="AJ18" s="9">
        <f t="shared" si="13"/>
        <v>936.4496984299999</v>
      </c>
      <c r="AK18" s="9">
        <f t="shared" si="13"/>
        <v>975.10996842999998</v>
      </c>
      <c r="AL18" s="9">
        <f t="shared" si="13"/>
        <v>757.01755843000001</v>
      </c>
      <c r="AM18" s="9">
        <f t="shared" si="13"/>
        <v>1864.68255843</v>
      </c>
      <c r="AN18" s="9">
        <f t="shared" si="13"/>
        <v>1391.5009341099997</v>
      </c>
      <c r="AO18" s="9">
        <f t="shared" si="13"/>
        <v>1175.0958348099998</v>
      </c>
      <c r="AP18" s="9">
        <f t="shared" si="13"/>
        <v>950.63473795999971</v>
      </c>
    </row>
    <row r="23" spans="1:44" ht="23.25">
      <c r="B23" s="12" t="s">
        <v>57</v>
      </c>
      <c r="C23" s="13"/>
      <c r="D23" s="13"/>
      <c r="E23" s="13"/>
      <c r="H23" s="12" t="s">
        <v>57</v>
      </c>
      <c r="I23" s="13"/>
      <c r="J23" s="13"/>
      <c r="K23" s="13"/>
      <c r="L23" s="13"/>
      <c r="M23" s="13"/>
      <c r="N23" s="13"/>
      <c r="O23" s="13"/>
      <c r="P23" s="13"/>
      <c r="Q23" s="13"/>
      <c r="R23" s="13"/>
      <c r="S23" s="13"/>
      <c r="T23" s="13"/>
      <c r="U23" s="13"/>
      <c r="V23" s="13"/>
      <c r="W23" s="13"/>
      <c r="X23" s="13"/>
      <c r="Y23" s="13"/>
      <c r="Z23" s="13"/>
      <c r="AA23" s="13"/>
      <c r="AB23" s="13"/>
      <c r="AC23" s="13"/>
      <c r="AD23" s="13"/>
      <c r="AE23" s="13"/>
      <c r="AF23" s="13"/>
      <c r="AG23" s="13"/>
      <c r="AH23" s="13"/>
      <c r="AI23" s="13"/>
      <c r="AJ23" s="13"/>
      <c r="AK23" s="13"/>
      <c r="AL23" s="13"/>
      <c r="AM23" s="13"/>
      <c r="AN23" s="13"/>
      <c r="AO23" s="13"/>
      <c r="AP23" s="13"/>
    </row>
    <row r="25" spans="1:44">
      <c r="A25" s="1">
        <v>1</v>
      </c>
      <c r="B25" s="3" t="s">
        <v>135</v>
      </c>
      <c r="C25" s="117" t="s">
        <v>2</v>
      </c>
      <c r="D25" s="117" t="s">
        <v>3</v>
      </c>
      <c r="E25" s="117" t="s">
        <v>4</v>
      </c>
      <c r="H25" s="3" t="s">
        <v>135</v>
      </c>
      <c r="I25" s="117" t="s">
        <v>6</v>
      </c>
      <c r="J25" s="117" t="s">
        <v>7</v>
      </c>
      <c r="K25" s="117" t="s">
        <v>8</v>
      </c>
      <c r="L25" s="117" t="s">
        <v>9</v>
      </c>
      <c r="M25" s="117" t="s">
        <v>10</v>
      </c>
      <c r="N25" s="117" t="s">
        <v>11</v>
      </c>
      <c r="O25" s="117" t="s">
        <v>12</v>
      </c>
      <c r="P25" s="117" t="s">
        <v>13</v>
      </c>
      <c r="Q25" s="117" t="s">
        <v>14</v>
      </c>
      <c r="R25" s="117" t="s">
        <v>15</v>
      </c>
      <c r="S25" s="117" t="s">
        <v>16</v>
      </c>
      <c r="T25" s="117" t="s">
        <v>17</v>
      </c>
      <c r="U25" s="117" t="s">
        <v>18</v>
      </c>
      <c r="V25" s="117" t="s">
        <v>19</v>
      </c>
      <c r="W25" s="117" t="s">
        <v>20</v>
      </c>
      <c r="X25" s="117" t="s">
        <v>21</v>
      </c>
      <c r="Y25" s="117" t="s">
        <v>22</v>
      </c>
      <c r="Z25" s="117" t="s">
        <v>23</v>
      </c>
      <c r="AA25" s="117" t="s">
        <v>24</v>
      </c>
      <c r="AB25" s="117" t="s">
        <v>25</v>
      </c>
      <c r="AC25" s="117" t="s">
        <v>26</v>
      </c>
      <c r="AD25" s="117" t="s">
        <v>27</v>
      </c>
      <c r="AE25" s="117" t="s">
        <v>28</v>
      </c>
      <c r="AF25" s="117" t="s">
        <v>29</v>
      </c>
      <c r="AG25" s="117" t="s">
        <v>30</v>
      </c>
      <c r="AH25" s="117" t="s">
        <v>31</v>
      </c>
      <c r="AI25" s="117" t="s">
        <v>32</v>
      </c>
      <c r="AJ25" s="117" t="s">
        <v>33</v>
      </c>
      <c r="AK25" s="117" t="s">
        <v>2</v>
      </c>
      <c r="AL25" s="117" t="s">
        <v>34</v>
      </c>
      <c r="AM25" s="117" t="s">
        <v>35</v>
      </c>
      <c r="AN25" s="117" t="s">
        <v>36</v>
      </c>
      <c r="AO25" s="117" t="s">
        <v>3</v>
      </c>
      <c r="AP25" s="117" t="s">
        <v>148</v>
      </c>
      <c r="AR25" s="54"/>
    </row>
    <row r="26" spans="1:44">
      <c r="A26" s="1">
        <v>2</v>
      </c>
      <c r="B26" s="3" t="s">
        <v>64</v>
      </c>
      <c r="C26" s="117"/>
      <c r="D26" s="117"/>
      <c r="E26" s="117"/>
      <c r="H26" s="3" t="s">
        <v>64</v>
      </c>
      <c r="I26" s="117"/>
      <c r="J26" s="117"/>
      <c r="K26" s="117"/>
      <c r="L26" s="117"/>
      <c r="M26" s="117"/>
      <c r="N26" s="117"/>
      <c r="O26" s="117"/>
      <c r="P26" s="117"/>
      <c r="Q26" s="117"/>
      <c r="R26" s="117"/>
      <c r="S26" s="117"/>
      <c r="T26" s="117"/>
      <c r="U26" s="117"/>
      <c r="V26" s="117"/>
      <c r="W26" s="117"/>
      <c r="X26" s="117"/>
      <c r="Y26" s="117"/>
      <c r="Z26" s="117"/>
      <c r="AA26" s="117"/>
      <c r="AB26" s="117"/>
      <c r="AC26" s="117"/>
      <c r="AD26" s="117"/>
      <c r="AE26" s="117"/>
      <c r="AF26" s="117"/>
      <c r="AG26" s="117"/>
      <c r="AH26" s="117"/>
      <c r="AI26" s="117"/>
      <c r="AJ26" s="117"/>
      <c r="AK26" s="117"/>
      <c r="AL26" s="117"/>
      <c r="AM26" s="117"/>
      <c r="AN26" s="117"/>
      <c r="AO26" s="117"/>
      <c r="AP26" s="117"/>
    </row>
    <row r="27" spans="1:44">
      <c r="A27" s="1">
        <v>3</v>
      </c>
    </row>
    <row r="28" spans="1:44">
      <c r="A28" s="1">
        <v>4</v>
      </c>
      <c r="B28" s="6" t="s">
        <v>136</v>
      </c>
      <c r="C28" s="9">
        <f>+HLOOKUP($C$25,$H$25:$AU$37,A28,FALSE)</f>
        <v>30.970700000000008</v>
      </c>
      <c r="D28" s="9">
        <f>+HLOOKUP($D$25,$H$25:$AU$37,A28,FALSE)</f>
        <v>27.9</v>
      </c>
      <c r="E28" s="38">
        <f>D28/C28-1</f>
        <v>-9.9148550081206044E-2</v>
      </c>
      <c r="H28" s="6" t="s">
        <v>137</v>
      </c>
      <c r="I28" s="19"/>
      <c r="J28" s="19"/>
      <c r="K28" s="19"/>
      <c r="L28" s="19"/>
      <c r="M28" s="19"/>
      <c r="N28" s="19"/>
      <c r="O28" s="19"/>
      <c r="P28" s="19"/>
      <c r="Q28" s="9">
        <v>42.199399999999997</v>
      </c>
      <c r="R28" s="9">
        <v>39.150300000000001</v>
      </c>
      <c r="S28" s="9">
        <v>40.120200000000004</v>
      </c>
      <c r="T28" s="9">
        <v>42.754200000000004</v>
      </c>
      <c r="U28" s="9">
        <v>22.031700000000008</v>
      </c>
      <c r="V28" s="9">
        <v>38.978700000000003</v>
      </c>
      <c r="W28" s="9">
        <v>37.817700000000002</v>
      </c>
      <c r="X28" s="9">
        <v>43.233699999999999</v>
      </c>
      <c r="Y28" s="9">
        <f>X37</f>
        <v>52.870699999999999</v>
      </c>
      <c r="Z28" s="9">
        <f>Y37</f>
        <v>40.570700000000002</v>
      </c>
      <c r="AA28" s="9">
        <f>Z37</f>
        <v>52.370699999999999</v>
      </c>
      <c r="AB28" s="9">
        <f>+AA37</f>
        <v>46.370699999999999</v>
      </c>
      <c r="AC28" s="9">
        <v>23.670700000000004</v>
      </c>
      <c r="AD28" s="9">
        <v>12.970700000000004</v>
      </c>
      <c r="AE28" s="9">
        <v>17.470700000000004</v>
      </c>
      <c r="AF28" s="9">
        <v>13.370700000000005</v>
      </c>
      <c r="AG28" s="9">
        <f t="shared" ref="AG28:AH28" si="14">+AF37</f>
        <v>23.770700000000005</v>
      </c>
      <c r="AH28" s="9">
        <f t="shared" si="14"/>
        <v>28.670700000000004</v>
      </c>
      <c r="AI28" s="9">
        <f>+AH37</f>
        <v>40.970700000000001</v>
      </c>
      <c r="AJ28" s="9">
        <v>27.37070000000001</v>
      </c>
      <c r="AK28" s="9">
        <v>30.970700000000008</v>
      </c>
      <c r="AL28" s="9">
        <f>+AK37</f>
        <v>21.771700000000006</v>
      </c>
      <c r="AM28" s="9">
        <f>+AL37</f>
        <v>33.070700000000002</v>
      </c>
      <c r="AN28" s="9">
        <f>+AM37</f>
        <v>21.305700000000009</v>
      </c>
      <c r="AO28" s="9">
        <v>27.9</v>
      </c>
      <c r="AP28" s="9">
        <v>23.4</v>
      </c>
    </row>
    <row r="29" spans="1:44" ht="8.25" customHeight="1">
      <c r="A29" s="1">
        <v>5</v>
      </c>
      <c r="I29" s="22"/>
      <c r="J29" s="22"/>
      <c r="K29" s="22"/>
      <c r="L29" s="22"/>
      <c r="M29" s="22"/>
      <c r="N29" s="22"/>
      <c r="O29" s="22"/>
      <c r="P29" s="22"/>
    </row>
    <row r="30" spans="1:44">
      <c r="A30" s="1">
        <v>6</v>
      </c>
      <c r="B30" s="5" t="s">
        <v>138</v>
      </c>
      <c r="C30" s="8">
        <f>+HLOOKUP($C$25,$H$25:$AU$37,A30,FALSE)</f>
        <v>15.1</v>
      </c>
      <c r="D30" s="8">
        <f>+HLOOKUP($D$25,$H$25:$AU$37,A30,FALSE)</f>
        <v>20.3</v>
      </c>
      <c r="E30" s="37">
        <f>+D30/C30-1</f>
        <v>0.3443708609271523</v>
      </c>
      <c r="H30" s="5" t="s">
        <v>138</v>
      </c>
      <c r="I30" s="18"/>
      <c r="J30" s="18"/>
      <c r="K30" s="18"/>
      <c r="L30" s="18"/>
      <c r="M30" s="18"/>
      <c r="N30" s="18"/>
      <c r="O30" s="18"/>
      <c r="P30" s="18"/>
      <c r="Q30" s="8">
        <v>5.9664000000000001</v>
      </c>
      <c r="R30" s="8">
        <v>2.9929000000000006</v>
      </c>
      <c r="S30" s="8">
        <v>8.0600999999999985</v>
      </c>
      <c r="T30" s="8">
        <v>-1.1653000000000002</v>
      </c>
      <c r="U30" s="8">
        <v>24.838000000000001</v>
      </c>
      <c r="V30" s="8">
        <v>5.1729999999999983</v>
      </c>
      <c r="W30" s="8">
        <v>25.257000000000001</v>
      </c>
      <c r="X30" s="8">
        <v>21.855999999999995</v>
      </c>
      <c r="Y30" s="8">
        <v>9.1999999999999993</v>
      </c>
      <c r="Z30" s="8">
        <v>15.1</v>
      </c>
      <c r="AA30" s="8">
        <v>7.6</v>
      </c>
      <c r="AB30" s="8">
        <v>1.6910000000000025</v>
      </c>
      <c r="AC30" s="8">
        <v>3.4</v>
      </c>
      <c r="AD30" s="8">
        <v>20.7</v>
      </c>
      <c r="AE30" s="8">
        <v>13.7</v>
      </c>
      <c r="AF30" s="8">
        <v>18</v>
      </c>
      <c r="AG30" s="8">
        <v>8.5</v>
      </c>
      <c r="AH30" s="8">
        <v>16.5</v>
      </c>
      <c r="AI30" s="8">
        <v>29</v>
      </c>
      <c r="AJ30" s="8">
        <v>9.5</v>
      </c>
      <c r="AK30" s="8">
        <v>15.1</v>
      </c>
      <c r="AL30" s="8">
        <v>17.199999999999996</v>
      </c>
      <c r="AM30" s="8">
        <f>52.679-AL30-AK30</f>
        <v>20.379000000000005</v>
      </c>
      <c r="AN30" s="8">
        <f>65.5-SUM(AK30:AM30)</f>
        <v>12.820999999999998</v>
      </c>
      <c r="AO30" s="8">
        <v>20.3</v>
      </c>
      <c r="AP30" s="8">
        <v>22.699999999999992</v>
      </c>
      <c r="AR30" s="54"/>
    </row>
    <row r="31" spans="1:44">
      <c r="A31" s="1">
        <v>7</v>
      </c>
      <c r="B31" s="5" t="s">
        <v>146</v>
      </c>
      <c r="C31" s="8">
        <f>+HLOOKUP($C$25,$H$25:$AU$37,A31,FALSE)</f>
        <v>-23.45</v>
      </c>
      <c r="D31" s="8">
        <f>+HLOOKUP($D$25,$H$25:$AU$37,A31,FALSE)</f>
        <v>-24</v>
      </c>
      <c r="E31" s="37">
        <f t="shared" ref="E31:E32" si="15">+D31/C31-1</f>
        <v>2.3454157782516027E-2</v>
      </c>
      <c r="H31" s="5" t="s">
        <v>140</v>
      </c>
      <c r="I31" s="18"/>
      <c r="J31" s="18"/>
      <c r="K31" s="18"/>
      <c r="L31" s="18"/>
      <c r="M31" s="18"/>
      <c r="N31" s="18"/>
      <c r="O31" s="18"/>
      <c r="P31" s="18"/>
      <c r="Q31" s="8">
        <v>-8.8450999999999986</v>
      </c>
      <c r="R31" s="8">
        <v>-0.5151</v>
      </c>
      <c r="S31" s="8">
        <v>-4.3264999999999993</v>
      </c>
      <c r="T31" s="8">
        <v>-18.684299999999997</v>
      </c>
      <c r="U31" s="8">
        <v>-4.7039999999999997</v>
      </c>
      <c r="V31" s="8">
        <v>-3.0090000000000003</v>
      </c>
      <c r="W31" s="8">
        <v>-17.099</v>
      </c>
      <c r="X31" s="8">
        <v>-9.5029999999999966</v>
      </c>
      <c r="Y31" s="8">
        <v>-18</v>
      </c>
      <c r="Z31" s="8">
        <v>-0.7</v>
      </c>
      <c r="AA31" s="8">
        <v>-13</v>
      </c>
      <c r="AB31" s="8">
        <v>26.256</v>
      </c>
      <c r="AC31" s="8">
        <v>-13.9</v>
      </c>
      <c r="AD31" s="8">
        <v>-6.7</v>
      </c>
      <c r="AE31" s="8">
        <v>-17.399999999999999</v>
      </c>
      <c r="AF31" s="8">
        <v>-4.3</v>
      </c>
      <c r="AG31" s="8">
        <v>1.1000000000000001</v>
      </c>
      <c r="AH31" s="8">
        <v>0.6</v>
      </c>
      <c r="AI31" s="8">
        <v>-21.4</v>
      </c>
      <c r="AJ31" s="8">
        <v>-5.7</v>
      </c>
      <c r="AK31" s="8">
        <v>-23.45</v>
      </c>
      <c r="AL31" s="8">
        <v>-4.8500000000000014</v>
      </c>
      <c r="AM31" s="8">
        <f>+-51.076-AL31-AK31</f>
        <v>-22.776</v>
      </c>
      <c r="AN31" s="8">
        <f>-55.7-SUM(AK31:AM31)</f>
        <v>-4.6240000000000023</v>
      </c>
      <c r="AO31" s="8">
        <v>-24</v>
      </c>
      <c r="AP31" s="8">
        <v>-5</v>
      </c>
    </row>
    <row r="32" spans="1:44">
      <c r="A32" s="1">
        <v>8</v>
      </c>
      <c r="B32" s="5" t="s">
        <v>142</v>
      </c>
      <c r="C32" s="8">
        <f>+HLOOKUP($C$25,$H$25:$AU$37,A32,FALSE)</f>
        <v>-0.503</v>
      </c>
      <c r="D32" s="8">
        <f>+HLOOKUP($D$25,$H$25:$AU$37,A32,FALSE)</f>
        <v>-2.2000000000000002</v>
      </c>
      <c r="E32" s="37">
        <f t="shared" si="15"/>
        <v>3.3737574552683895</v>
      </c>
      <c r="H32" s="5" t="s">
        <v>142</v>
      </c>
      <c r="I32" s="18"/>
      <c r="J32" s="18"/>
      <c r="K32" s="18"/>
      <c r="L32" s="18"/>
      <c r="M32" s="18"/>
      <c r="N32" s="18"/>
      <c r="O32" s="18"/>
      <c r="P32" s="18"/>
      <c r="Q32" s="8">
        <v>-0.1704</v>
      </c>
      <c r="R32" s="8">
        <v>-1.5079</v>
      </c>
      <c r="S32" s="8">
        <v>-1.0996000000000001</v>
      </c>
      <c r="T32" s="8">
        <v>-0.87290000000000001</v>
      </c>
      <c r="U32" s="8">
        <v>-3.5649999999999999</v>
      </c>
      <c r="V32" s="8">
        <v>-3.3409999999999997</v>
      </c>
      <c r="W32" s="8">
        <v>-1.5170000000000003</v>
      </c>
      <c r="X32" s="8">
        <v>-1.0719999999999992</v>
      </c>
      <c r="Y32" s="8">
        <v>-2.1</v>
      </c>
      <c r="Z32" s="8">
        <v>-1.9</v>
      </c>
      <c r="AA32" s="8">
        <v>-0.5</v>
      </c>
      <c r="AB32" s="8">
        <v>-50.133000000000003</v>
      </c>
      <c r="AC32" s="8">
        <v>-0.5</v>
      </c>
      <c r="AD32" s="8">
        <v>-9.6999999999999993</v>
      </c>
      <c r="AE32" s="8">
        <v>-0.1</v>
      </c>
      <c r="AF32" s="8">
        <v>-3.8</v>
      </c>
      <c r="AG32" s="8">
        <v>-4.0999999999999996</v>
      </c>
      <c r="AH32" s="8">
        <v>-4.5999999999999996</v>
      </c>
      <c r="AI32" s="8">
        <v>-20.9</v>
      </c>
      <c r="AJ32" s="8">
        <v>-0.1</v>
      </c>
      <c r="AK32" s="8">
        <v>-0.503</v>
      </c>
      <c r="AL32" s="8">
        <v>-1.097</v>
      </c>
      <c r="AM32" s="8">
        <f>+-9.92-AL32-AK32</f>
        <v>-8.32</v>
      </c>
      <c r="AN32" s="8">
        <f>-12.3-SUM(AK32:AM32)</f>
        <v>-2.3800000000000008</v>
      </c>
      <c r="AO32" s="8">
        <v>-2.2000000000000002</v>
      </c>
      <c r="AP32" s="8">
        <v>-1.6999999999999997</v>
      </c>
    </row>
    <row r="33" spans="1:42">
      <c r="A33" s="1">
        <v>9</v>
      </c>
      <c r="B33" s="20" t="s">
        <v>143</v>
      </c>
      <c r="C33" s="21">
        <f>+HLOOKUP($C$25,$H$25:$AU$37,A33,FALSE)</f>
        <v>-8.8529999999999998</v>
      </c>
      <c r="D33" s="21">
        <f>+HLOOKUP($D$25,$H$25:$AU$37,A33,FALSE)</f>
        <v>-5.8999999999999995</v>
      </c>
      <c r="E33" s="56">
        <f>+D33/C33-1</f>
        <v>-0.33355924545351867</v>
      </c>
      <c r="H33" s="20" t="s">
        <v>143</v>
      </c>
      <c r="I33" s="23"/>
      <c r="J33" s="23"/>
      <c r="K33" s="23"/>
      <c r="L33" s="23"/>
      <c r="M33" s="23"/>
      <c r="N33" s="23"/>
      <c r="O33" s="23"/>
      <c r="P33" s="23"/>
      <c r="Q33" s="21">
        <v>-3.0490999999999984</v>
      </c>
      <c r="R33" s="21">
        <v>0.96990000000000065</v>
      </c>
      <c r="S33" s="21">
        <f t="shared" ref="S33" si="16">SUM(S30:S32)</f>
        <v>2.633999999999999</v>
      </c>
      <c r="T33" s="21">
        <f t="shared" ref="T33" si="17">SUM(T30:T32)</f>
        <v>-20.722499999999997</v>
      </c>
      <c r="U33" s="21">
        <f t="shared" ref="U33" si="18">SUM(U30:U32)</f>
        <v>16.568999999999999</v>
      </c>
      <c r="V33" s="21">
        <f t="shared" ref="V33:X33" si="19">SUM(V30:V32)</f>
        <v>-1.1770000000000018</v>
      </c>
      <c r="W33" s="21">
        <f t="shared" si="19"/>
        <v>6.6410000000000009</v>
      </c>
      <c r="X33" s="21">
        <f t="shared" si="19"/>
        <v>11.280999999999999</v>
      </c>
      <c r="Y33" s="21">
        <f>SUM(Y30:Y32)</f>
        <v>-10.9</v>
      </c>
      <c r="Z33" s="21">
        <v>12.5</v>
      </c>
      <c r="AA33" s="21">
        <v>-5.9</v>
      </c>
      <c r="AB33" s="21">
        <f t="shared" ref="AB33:AP33" si="20">+AB30+AB31+AB32</f>
        <v>-22.186</v>
      </c>
      <c r="AC33" s="21">
        <f t="shared" si="20"/>
        <v>-11</v>
      </c>
      <c r="AD33" s="21">
        <f t="shared" si="20"/>
        <v>4.3000000000000007</v>
      </c>
      <c r="AE33" s="21">
        <f t="shared" si="20"/>
        <v>-3.7999999999999994</v>
      </c>
      <c r="AF33" s="21">
        <f t="shared" si="20"/>
        <v>9.8999999999999986</v>
      </c>
      <c r="AG33" s="21">
        <f t="shared" si="20"/>
        <v>5.5</v>
      </c>
      <c r="AH33" s="21">
        <f t="shared" si="20"/>
        <v>12.500000000000002</v>
      </c>
      <c r="AI33" s="21">
        <f t="shared" si="20"/>
        <v>-13.299999999999997</v>
      </c>
      <c r="AJ33" s="21">
        <f t="shared" si="20"/>
        <v>3.6999999999999997</v>
      </c>
      <c r="AK33" s="21">
        <f t="shared" si="20"/>
        <v>-8.8529999999999998</v>
      </c>
      <c r="AL33" s="21">
        <f t="shared" si="20"/>
        <v>11.252999999999995</v>
      </c>
      <c r="AM33" s="21">
        <f t="shared" si="20"/>
        <v>-10.716999999999995</v>
      </c>
      <c r="AN33" s="21">
        <f t="shared" si="20"/>
        <v>5.8169999999999948</v>
      </c>
      <c r="AO33" s="21">
        <f t="shared" si="20"/>
        <v>-5.8999999999999995</v>
      </c>
      <c r="AP33" s="21">
        <f t="shared" si="20"/>
        <v>15.999999999999993</v>
      </c>
    </row>
    <row r="34" spans="1:42" ht="8.25" customHeight="1">
      <c r="A34" s="1">
        <v>10</v>
      </c>
      <c r="I34" s="22"/>
      <c r="J34" s="22"/>
      <c r="K34" s="22"/>
      <c r="L34" s="22"/>
      <c r="M34" s="22"/>
      <c r="N34" s="22"/>
      <c r="O34" s="22"/>
      <c r="P34" s="22"/>
    </row>
    <row r="35" spans="1:42">
      <c r="A35" s="1">
        <v>11</v>
      </c>
      <c r="B35" s="5" t="s">
        <v>144</v>
      </c>
      <c r="C35" s="8">
        <f>+HLOOKUP($C$25,$H$25:$AU$37,A35,FALSE)</f>
        <v>-0.34599999999999997</v>
      </c>
      <c r="D35" s="8">
        <f>+HLOOKUP($D$25,$H$25:$AU$37,A35,FALSE)</f>
        <v>1.4</v>
      </c>
      <c r="E35" s="37" t="s">
        <v>50</v>
      </c>
      <c r="H35" s="5" t="s">
        <v>144</v>
      </c>
      <c r="I35" s="18"/>
      <c r="J35" s="18"/>
      <c r="K35" s="18"/>
      <c r="L35" s="18"/>
      <c r="M35" s="18"/>
      <c r="N35" s="18"/>
      <c r="O35" s="18"/>
      <c r="P35" s="18"/>
      <c r="Q35" s="18">
        <v>0</v>
      </c>
      <c r="R35" s="18">
        <v>0</v>
      </c>
      <c r="S35" s="18">
        <v>0</v>
      </c>
      <c r="T35" s="18">
        <v>0</v>
      </c>
      <c r="U35" s="18">
        <v>0.378</v>
      </c>
      <c r="V35" s="8">
        <v>1.6000000000000014E-2</v>
      </c>
      <c r="W35" s="8">
        <v>-1.2250000000000001</v>
      </c>
      <c r="X35" s="8">
        <v>-1.6440000000000001</v>
      </c>
      <c r="Y35" s="8">
        <v>-1.4</v>
      </c>
      <c r="Z35" s="8">
        <v>-0.7</v>
      </c>
      <c r="AA35" s="8">
        <v>-0.1</v>
      </c>
      <c r="AB35" s="8">
        <v>-0.47850000000000037</v>
      </c>
      <c r="AC35" s="8">
        <v>0.3</v>
      </c>
      <c r="AD35" s="8">
        <v>0.2</v>
      </c>
      <c r="AE35" s="8">
        <v>-0.3</v>
      </c>
      <c r="AF35" s="8">
        <v>0.5</v>
      </c>
      <c r="AG35" s="8">
        <v>-0.6</v>
      </c>
      <c r="AH35" s="8">
        <v>-0.2</v>
      </c>
      <c r="AI35" s="8">
        <v>-0.3</v>
      </c>
      <c r="AJ35" s="8">
        <v>-0.1</v>
      </c>
      <c r="AK35" s="8">
        <v>-0.34599999999999997</v>
      </c>
      <c r="AL35" s="8">
        <v>4.5999999999999985E-2</v>
      </c>
      <c r="AM35" s="8">
        <f>+-1.348-AL35-AK35</f>
        <v>-1.048</v>
      </c>
      <c r="AN35" s="8">
        <f>+-0.75-SUM(AK35:AM35)</f>
        <v>0.59800000000000009</v>
      </c>
      <c r="AO35" s="8">
        <v>1.4</v>
      </c>
      <c r="AP35" s="8">
        <v>-0.19999999999999996</v>
      </c>
    </row>
    <row r="36" spans="1:42" ht="8.25" customHeight="1">
      <c r="A36" s="1">
        <v>12</v>
      </c>
      <c r="I36" s="22"/>
      <c r="J36" s="22"/>
      <c r="K36" s="22"/>
      <c r="L36" s="22"/>
      <c r="M36" s="22"/>
      <c r="N36" s="22"/>
      <c r="O36" s="22"/>
      <c r="P36" s="22"/>
    </row>
    <row r="37" spans="1:42">
      <c r="A37" s="1">
        <v>13</v>
      </c>
      <c r="B37" s="6" t="s">
        <v>145</v>
      </c>
      <c r="C37" s="9">
        <f>+HLOOKUP($C$25,$H$25:$AU$37,A37,FALSE)</f>
        <v>21.771700000000006</v>
      </c>
      <c r="D37" s="9">
        <f>+HLOOKUP($D$25,$H$25:$AU$37,A37,FALSE)</f>
        <v>23.4</v>
      </c>
      <c r="E37" s="38">
        <f>D37/C37-1</f>
        <v>7.4789749996554855E-2</v>
      </c>
      <c r="H37" s="6" t="s">
        <v>145</v>
      </c>
      <c r="I37" s="19"/>
      <c r="J37" s="19"/>
      <c r="K37" s="19"/>
      <c r="L37" s="19"/>
      <c r="M37" s="19"/>
      <c r="N37" s="19"/>
      <c r="O37" s="19"/>
      <c r="P37" s="19"/>
      <c r="Q37" s="9">
        <f t="shared" ref="Q37:X37" si="21">Q35+Q33+Q28</f>
        <v>39.150300000000001</v>
      </c>
      <c r="R37" s="9">
        <f t="shared" si="21"/>
        <v>40.120200000000004</v>
      </c>
      <c r="S37" s="9">
        <f t="shared" si="21"/>
        <v>42.754200000000004</v>
      </c>
      <c r="T37" s="9">
        <f t="shared" si="21"/>
        <v>22.031700000000008</v>
      </c>
      <c r="U37" s="9">
        <f t="shared" si="21"/>
        <v>38.978700000000003</v>
      </c>
      <c r="V37" s="9">
        <f t="shared" si="21"/>
        <v>37.817700000000002</v>
      </c>
      <c r="W37" s="9">
        <f t="shared" si="21"/>
        <v>43.233699999999999</v>
      </c>
      <c r="X37" s="9">
        <f t="shared" si="21"/>
        <v>52.870699999999999</v>
      </c>
      <c r="Y37" s="9">
        <f>Y35+Y33+Y28</f>
        <v>40.570700000000002</v>
      </c>
      <c r="Z37" s="9">
        <f>Z35+Z33+Z28</f>
        <v>52.370699999999999</v>
      </c>
      <c r="AA37" s="9">
        <f>AA35+AA33+AA28</f>
        <v>46.370699999999999</v>
      </c>
      <c r="AB37" s="9">
        <f t="shared" ref="AB37:AH37" si="22">+AB28+AB33+AB35</f>
        <v>23.706199999999999</v>
      </c>
      <c r="AC37" s="9">
        <f t="shared" si="22"/>
        <v>12.970700000000004</v>
      </c>
      <c r="AD37" s="9">
        <f t="shared" si="22"/>
        <v>17.470700000000004</v>
      </c>
      <c r="AE37" s="9">
        <f t="shared" si="22"/>
        <v>13.370700000000005</v>
      </c>
      <c r="AF37" s="9">
        <f t="shared" si="22"/>
        <v>23.770700000000005</v>
      </c>
      <c r="AG37" s="9">
        <f t="shared" si="22"/>
        <v>28.670700000000004</v>
      </c>
      <c r="AH37" s="9">
        <f t="shared" si="22"/>
        <v>40.970700000000001</v>
      </c>
      <c r="AI37" s="9">
        <f>+AI28+AI33+AI35</f>
        <v>27.370700000000003</v>
      </c>
      <c r="AJ37" s="9">
        <f>+AJ28+AJ33+AJ35</f>
        <v>30.970700000000008</v>
      </c>
      <c r="AK37" s="9">
        <f t="shared" ref="AK37" si="23">+AK28+AK33+AK35</f>
        <v>21.771700000000006</v>
      </c>
      <c r="AL37" s="9">
        <f>+AL28+AL33+AL35</f>
        <v>33.070700000000002</v>
      </c>
      <c r="AM37" s="9">
        <f>+AM28+AM33+AM35</f>
        <v>21.305700000000009</v>
      </c>
      <c r="AN37" s="9">
        <f>+AN28+AN33+AN35</f>
        <v>27.720700000000001</v>
      </c>
      <c r="AO37" s="9">
        <f>+AO28+AO33+AO35</f>
        <v>23.4</v>
      </c>
      <c r="AP37" s="9">
        <f>+AP28+AP33+AP35</f>
        <v>39.199999999999989</v>
      </c>
    </row>
    <row r="40" spans="1:42" ht="93.75" customHeight="1">
      <c r="B40" s="120" t="s">
        <v>147</v>
      </c>
      <c r="C40" s="125"/>
      <c r="D40" s="125"/>
      <c r="E40" s="125"/>
    </row>
  </sheetData>
  <mergeCells count="75">
    <mergeCell ref="AP6:AP7"/>
    <mergeCell ref="AP25:AP26"/>
    <mergeCell ref="AO6:AO7"/>
    <mergeCell ref="AO25:AO26"/>
    <mergeCell ref="Z25:Z26"/>
    <mergeCell ref="AM6:AM7"/>
    <mergeCell ref="AM25:AM26"/>
    <mergeCell ref="AL6:AL7"/>
    <mergeCell ref="AL25:AL26"/>
    <mergeCell ref="AK6:AK7"/>
    <mergeCell ref="AK25:AK26"/>
    <mergeCell ref="AA6:AA7"/>
    <mergeCell ref="AA25:AA26"/>
    <mergeCell ref="AD25:AD26"/>
    <mergeCell ref="AE25:AE26"/>
    <mergeCell ref="AD6:AD7"/>
    <mergeCell ref="AN6:AN7"/>
    <mergeCell ref="AN25:AN26"/>
    <mergeCell ref="N6:N7"/>
    <mergeCell ref="B40:E40"/>
    <mergeCell ref="AG6:AG7"/>
    <mergeCell ref="AG25:AG26"/>
    <mergeCell ref="AB25:AB26"/>
    <mergeCell ref="Y6:Y7"/>
    <mergeCell ref="Y25:Y26"/>
    <mergeCell ref="AC6:AC7"/>
    <mergeCell ref="AC25:AC26"/>
    <mergeCell ref="AB6:AB7"/>
    <mergeCell ref="AF25:AF26"/>
    <mergeCell ref="AF6:AF7"/>
    <mergeCell ref="AE6:AE7"/>
    <mergeCell ref="I25:I26"/>
    <mergeCell ref="J25:J26"/>
    <mergeCell ref="Z6:Z7"/>
    <mergeCell ref="P25:P26"/>
    <mergeCell ref="Q25:Q26"/>
    <mergeCell ref="R25:R26"/>
    <mergeCell ref="K25:K26"/>
    <mergeCell ref="L25:L26"/>
    <mergeCell ref="M25:M26"/>
    <mergeCell ref="N25:N26"/>
    <mergeCell ref="O25:O26"/>
    <mergeCell ref="X6:X7"/>
    <mergeCell ref="X25:X26"/>
    <mergeCell ref="W6:W7"/>
    <mergeCell ref="O6:O7"/>
    <mergeCell ref="P6:P7"/>
    <mergeCell ref="Q6:Q7"/>
    <mergeCell ref="I6:I7"/>
    <mergeCell ref="J6:J7"/>
    <mergeCell ref="K6:K7"/>
    <mergeCell ref="L6:L7"/>
    <mergeCell ref="M6:M7"/>
    <mergeCell ref="S25:S26"/>
    <mergeCell ref="T25:T26"/>
    <mergeCell ref="U25:U26"/>
    <mergeCell ref="W25:W26"/>
    <mergeCell ref="V25:V26"/>
    <mergeCell ref="R6:R7"/>
    <mergeCell ref="S6:S7"/>
    <mergeCell ref="T6:T7"/>
    <mergeCell ref="U6:U7"/>
    <mergeCell ref="V6:V7"/>
    <mergeCell ref="C6:C7"/>
    <mergeCell ref="D6:D7"/>
    <mergeCell ref="E6:E7"/>
    <mergeCell ref="C25:C26"/>
    <mergeCell ref="D25:D26"/>
    <mergeCell ref="E25:E26"/>
    <mergeCell ref="AI6:AI7"/>
    <mergeCell ref="AI25:AI26"/>
    <mergeCell ref="AH6:AH7"/>
    <mergeCell ref="AH25:AH26"/>
    <mergeCell ref="AJ6:AJ7"/>
    <mergeCell ref="AJ25:AJ26"/>
  </mergeCells>
  <phoneticPr fontId="14" type="noConversion"/>
  <pageMargins left="0.7" right="0.7" top="0.75" bottom="0.75" header="0.3" footer="0.3"/>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82AEAA8A3D209B41BC4DB5A9CB5E50DE" ma:contentTypeVersion="4" ma:contentTypeDescription="Crear nuevo documento." ma:contentTypeScope="" ma:versionID="f874fbb67095a3ed2313ad3bb65189f4">
  <xsd:schema xmlns:xsd="http://www.w3.org/2001/XMLSchema" xmlns:xs="http://www.w3.org/2001/XMLSchema" xmlns:p="http://schemas.microsoft.com/office/2006/metadata/properties" xmlns:ns2="af28b929-2fa0-4937-be7e-13907b45f7fc" targetNamespace="http://schemas.microsoft.com/office/2006/metadata/properties" ma:root="true" ma:fieldsID="124c982814c50fbfe9317d7cc0eedf63" ns2:_="">
    <xsd:import namespace="af28b929-2fa0-4937-be7e-13907b45f7fc"/>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f28b929-2fa0-4937-be7e-13907b45f7f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D7A24069-4881-426E-A50B-2B90C6FAFD2F}">
  <ds:schemaRefs>
    <ds:schemaRef ds:uri="http://schemas.microsoft.com/office/2006/documentManagement/types"/>
    <ds:schemaRef ds:uri="af28b929-2fa0-4937-be7e-13907b45f7fc"/>
    <ds:schemaRef ds:uri="http://www.w3.org/XML/1998/namespace"/>
    <ds:schemaRef ds:uri="http://purl.org/dc/dcmitype/"/>
    <ds:schemaRef ds:uri="http://schemas.openxmlformats.org/package/2006/metadata/core-properties"/>
    <ds:schemaRef ds:uri="http://purl.org/dc/terms/"/>
    <ds:schemaRef ds:uri="http://schemas.microsoft.com/office/infopath/2007/PartnerControls"/>
    <ds:schemaRef ds:uri="http://schemas.microsoft.com/office/2006/metadata/properties"/>
    <ds:schemaRef ds:uri="http://purl.org/dc/elements/1.1/"/>
  </ds:schemaRefs>
</ds:datastoreItem>
</file>

<file path=customXml/itemProps2.xml><?xml version="1.0" encoding="utf-8"?>
<ds:datastoreItem xmlns:ds="http://schemas.openxmlformats.org/officeDocument/2006/customXml" ds:itemID="{5C85A5DC-A12C-412A-8511-AE8B5131617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f28b929-2fa0-4937-be7e-13907b45f7f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45F6794-A2FB-4EC1-92F9-2F6866DB1C9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8</vt:i4>
      </vt:variant>
    </vt:vector>
  </HeadingPairs>
  <TitlesOfParts>
    <vt:vector size="8" baseType="lpstr">
      <vt:lpstr>Physical Sales &amp; Gx.</vt:lpstr>
      <vt:lpstr>Income Statement</vt:lpstr>
      <vt:lpstr>Operating Income</vt:lpstr>
      <vt:lpstr>Non-Operating Income</vt:lpstr>
      <vt:lpstr>Balance Sheet</vt:lpstr>
      <vt:lpstr>Main Debt Items</vt:lpstr>
      <vt:lpstr>Amortization Profile</vt:lpstr>
      <vt:lpstr>Cash Flow</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Isidora Zaldivar Safian</dc:creator>
  <cp:keywords/>
  <dc:description/>
  <cp:lastModifiedBy>Rosario González Valdés</cp:lastModifiedBy>
  <cp:revision/>
  <dcterms:created xsi:type="dcterms:W3CDTF">2017-12-05T18:05:13Z</dcterms:created>
  <dcterms:modified xsi:type="dcterms:W3CDTF">2022-07-27T16:42:35Z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0x01010082AEAA8A3D209B41BC4DB5A9CB5E50DE</vt:lpwstr>
  </property>
</Properties>
</file>