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https://colbun-my.sharepoint.com/personal/izaldivar_colbun_cl/Documents/RESPALDO IZ/Datos Financieros Pagina Web/1Q22/"/>
    </mc:Choice>
  </mc:AlternateContent>
  <xr:revisionPtr revIDLastSave="531" documentId="13_ncr:1_{9C6E5492-DD85-4BD0-BF8C-0E972B5DF84B}" xr6:coauthVersionLast="47" xr6:coauthVersionMax="47" xr10:uidLastSave="{9CF00762-54C2-410D-BFBC-9200EA9700EC}"/>
  <bookViews>
    <workbookView xWindow="-28920" yWindow="-120" windowWidth="29040" windowHeight="15840" tabRatio="723" activeTab="7"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 r:id="rId10"/>
    <externalReference r:id="rId11"/>
  </externalReferences>
  <calcPr calcId="191029"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6" i="7" l="1"/>
  <c r="AN27" i="7" s="1"/>
  <c r="AN13" i="7"/>
  <c r="AN12" i="7"/>
  <c r="AN25" i="7"/>
  <c r="AN11" i="7"/>
  <c r="AN24" i="7"/>
  <c r="AN10" i="7"/>
  <c r="AN23" i="7"/>
  <c r="AN9" i="7"/>
  <c r="AC37" i="4"/>
  <c r="AC31" i="4"/>
  <c r="AC18" i="4"/>
  <c r="AC12" i="4"/>
  <c r="AO47" i="3"/>
  <c r="AO21" i="3"/>
  <c r="AO19" i="3"/>
  <c r="AO15" i="3"/>
  <c r="AO13" i="3"/>
  <c r="AO11" i="3"/>
  <c r="AO10" i="3"/>
  <c r="AO9" i="3"/>
  <c r="AO38" i="3"/>
  <c r="AO67" i="2" l="1"/>
  <c r="AO65" i="2"/>
  <c r="AO59" i="2"/>
  <c r="AO52" i="2"/>
  <c r="AO45" i="2"/>
  <c r="AO31" i="2"/>
  <c r="AO17" i="2"/>
  <c r="AO10" i="2"/>
  <c r="AC43" i="1"/>
  <c r="AC39" i="1"/>
  <c r="AC37" i="1"/>
  <c r="AC29" i="1"/>
  <c r="AC27" i="1"/>
  <c r="AC21" i="1"/>
  <c r="Y21" i="1"/>
  <c r="AC13" i="1"/>
  <c r="AC9" i="1"/>
  <c r="AO51" i="6"/>
  <c r="AO46" i="6"/>
  <c r="AO39" i="6"/>
  <c r="AO17" i="6"/>
  <c r="D17" i="6"/>
  <c r="AO29" i="6"/>
  <c r="AO24" i="6"/>
  <c r="AO20" i="6"/>
  <c r="AO9" i="6"/>
  <c r="AM12" i="7" l="1"/>
  <c r="AM10" i="7"/>
  <c r="AM9" i="7"/>
  <c r="AM25" i="7"/>
  <c r="AM27" i="7" s="1"/>
  <c r="AB16" i="4"/>
  <c r="AB15" i="4"/>
  <c r="AB14" i="4"/>
  <c r="AB18" i="4" s="1"/>
  <c r="AB10" i="4"/>
  <c r="AB9" i="4"/>
  <c r="AB12" i="4" s="1"/>
  <c r="AB31" i="4"/>
  <c r="AB37" i="4"/>
  <c r="AN47" i="3"/>
  <c r="AN21" i="3"/>
  <c r="AN23" i="3" s="1"/>
  <c r="AN19" i="3"/>
  <c r="AN17" i="3"/>
  <c r="AM17" i="3"/>
  <c r="AN38" i="3"/>
  <c r="AN13" i="3"/>
  <c r="AN11" i="3"/>
  <c r="AN10" i="3"/>
  <c r="AN9" i="3"/>
  <c r="AM11" i="7" l="1"/>
  <c r="AM13" i="7" s="1"/>
  <c r="AN15" i="3"/>
  <c r="D29" i="2" l="1"/>
  <c r="D28" i="2"/>
  <c r="D27" i="2"/>
  <c r="D23" i="2"/>
  <c r="D22" i="2"/>
  <c r="D21" i="2"/>
  <c r="C21" i="2"/>
  <c r="D20" i="2"/>
  <c r="D19" i="2"/>
  <c r="D18" i="2"/>
  <c r="C14" i="2"/>
  <c r="D14" i="2"/>
  <c r="D15" i="2"/>
  <c r="D13" i="2"/>
  <c r="D12" i="2"/>
  <c r="D11" i="2"/>
  <c r="C46" i="2"/>
  <c r="AN52" i="2"/>
  <c r="AN45" i="2"/>
  <c r="AN31" i="2"/>
  <c r="AN17" i="2"/>
  <c r="AB37" i="1"/>
  <c r="AB13" i="1"/>
  <c r="AB9" i="1"/>
  <c r="AN51" i="6"/>
  <c r="AN46" i="6"/>
  <c r="AN39" i="6"/>
  <c r="AN29" i="6"/>
  <c r="AM29" i="6"/>
  <c r="AN20" i="6"/>
  <c r="AM20" i="6"/>
  <c r="AN24" i="6"/>
  <c r="AN9" i="6"/>
  <c r="AN17" i="6" l="1"/>
  <c r="AN59" i="2"/>
  <c r="AN65" i="2" s="1"/>
  <c r="AN67" i="2" s="1"/>
  <c r="AB21" i="1"/>
  <c r="AB27" i="1" s="1"/>
  <c r="AB39" i="1" s="1"/>
  <c r="AB43" i="1" s="1"/>
  <c r="AM13" i="3"/>
  <c r="AM29" i="2"/>
  <c r="AM35" i="5"/>
  <c r="AM31" i="5"/>
  <c r="AM32" i="5"/>
  <c r="AM30" i="5"/>
  <c r="AM11" i="5" l="1"/>
  <c r="AN30" i="5"/>
  <c r="AM12" i="5"/>
  <c r="AN31" i="5"/>
  <c r="AN12" i="5" s="1"/>
  <c r="AM13" i="5"/>
  <c r="AN32" i="5"/>
  <c r="AN13" i="5" s="1"/>
  <c r="AM16" i="5"/>
  <c r="AN35" i="5"/>
  <c r="AN16" i="5" s="1"/>
  <c r="AM33" i="5"/>
  <c r="AM14" i="5"/>
  <c r="AL12" i="7"/>
  <c r="AL10" i="7"/>
  <c r="AL9" i="7"/>
  <c r="AL25" i="7"/>
  <c r="AL27" i="7" s="1"/>
  <c r="AA16" i="4"/>
  <c r="AA15" i="4"/>
  <c r="AA14" i="4"/>
  <c r="AA10" i="4"/>
  <c r="AA9" i="4"/>
  <c r="AA37" i="4"/>
  <c r="AA31" i="4"/>
  <c r="AM19" i="3"/>
  <c r="AM11" i="3"/>
  <c r="AM10" i="3"/>
  <c r="AM9" i="3"/>
  <c r="AM44" i="3"/>
  <c r="AM21" i="3" s="1"/>
  <c r="AM38" i="3"/>
  <c r="AN11" i="5" l="1"/>
  <c r="AN14" i="5" s="1"/>
  <c r="AN33" i="5"/>
  <c r="AM15" i="3"/>
  <c r="AL11" i="7"/>
  <c r="AA18" i="4"/>
  <c r="AA12" i="4"/>
  <c r="AK9" i="3" l="1"/>
  <c r="AK10" i="3"/>
  <c r="AK11" i="3"/>
  <c r="AK13" i="3"/>
  <c r="AL9" i="3"/>
  <c r="AL10" i="3"/>
  <c r="AL11" i="3"/>
  <c r="AL13" i="3"/>
  <c r="AI28" i="2"/>
  <c r="AI18" i="2"/>
  <c r="AI23" i="2"/>
  <c r="AM28" i="2"/>
  <c r="AM27" i="2"/>
  <c r="AM17" i="2"/>
  <c r="AM52" i="2"/>
  <c r="AM45" i="2"/>
  <c r="AA37" i="1"/>
  <c r="AA13" i="1"/>
  <c r="AA9" i="1"/>
  <c r="AA21" i="1" s="1"/>
  <c r="AA27" i="1" s="1"/>
  <c r="AM51" i="6"/>
  <c r="AM46" i="6"/>
  <c r="AM39" i="6"/>
  <c r="AM24" i="6"/>
  <c r="AM17" i="6" s="1"/>
  <c r="AM9" i="6"/>
  <c r="AK10" i="7"/>
  <c r="AM59" i="2" l="1"/>
  <c r="AM65" i="2" s="1"/>
  <c r="AM67" i="2" s="1"/>
  <c r="AM33" i="2" s="1"/>
  <c r="AA39" i="1"/>
  <c r="AA43" i="1" s="1"/>
  <c r="AM10" i="2"/>
  <c r="AM25" i="2" s="1"/>
  <c r="AM31" i="2" s="1"/>
  <c r="AL16" i="5" l="1"/>
  <c r="AL13" i="5"/>
  <c r="AL12" i="5"/>
  <c r="AL11" i="5"/>
  <c r="AL14" i="5" s="1"/>
  <c r="AL33" i="5"/>
  <c r="AK9" i="7"/>
  <c r="Z37" i="4"/>
  <c r="Z16" i="4"/>
  <c r="Z9" i="4"/>
  <c r="AL19" i="3"/>
  <c r="AL17" i="3"/>
  <c r="AL29" i="2"/>
  <c r="AL28" i="2"/>
  <c r="AL27" i="2"/>
  <c r="Z29" i="1" l="1"/>
  <c r="AK25" i="7"/>
  <c r="AK11" i="7" s="1"/>
  <c r="D35" i="4"/>
  <c r="D34" i="4"/>
  <c r="D33" i="4"/>
  <c r="D29" i="4"/>
  <c r="D28" i="4"/>
  <c r="Z15" i="4"/>
  <c r="Z14" i="4"/>
  <c r="Z18" i="4" s="1"/>
  <c r="Z10" i="4"/>
  <c r="Z12" i="4" s="1"/>
  <c r="D37" i="4"/>
  <c r="Z31" i="4"/>
  <c r="D31" i="4" s="1"/>
  <c r="AL15" i="3"/>
  <c r="AL44" i="3"/>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23" i="2"/>
  <c r="AL21" i="2"/>
  <c r="AL20" i="2"/>
  <c r="AL19" i="2"/>
  <c r="AL18" i="2"/>
  <c r="AL15" i="2"/>
  <c r="AL13" i="2"/>
  <c r="AL12" i="2"/>
  <c r="AL11" i="2"/>
  <c r="AL52" i="2"/>
  <c r="AL45" i="2"/>
  <c r="Z37" i="1"/>
  <c r="Z13" i="1"/>
  <c r="Z9" i="1"/>
  <c r="AL51" i="6"/>
  <c r="AL46" i="6"/>
  <c r="AL39" i="6"/>
  <c r="AL29" i="6"/>
  <c r="AL24" i="6"/>
  <c r="AL20" i="6"/>
  <c r="AL9" i="6"/>
  <c r="AL17" i="6" l="1"/>
  <c r="Z21" i="1"/>
  <c r="Z27" i="1" s="1"/>
  <c r="AL46" i="3"/>
  <c r="AL21" i="3"/>
  <c r="AL47" i="3"/>
  <c r="AL59" i="2"/>
  <c r="AL65" i="2" s="1"/>
  <c r="AL67" i="2" s="1"/>
  <c r="AL33" i="2" s="1"/>
  <c r="AL17" i="2"/>
  <c r="Z39" i="1"/>
  <c r="Z43" i="1" s="1"/>
  <c r="AL10" i="2"/>
  <c r="AJ10" i="7"/>
  <c r="AJ9" i="7"/>
  <c r="AJ11" i="7" s="1"/>
  <c r="AL25" i="2" l="1"/>
  <c r="AL31" i="2" s="1"/>
  <c r="AK16" i="5"/>
  <c r="AK13" i="5"/>
  <c r="AK12" i="5"/>
  <c r="AK11" i="5"/>
  <c r="AK33" i="5"/>
  <c r="AK37" i="5" s="1"/>
  <c r="AL28" i="5" s="1"/>
  <c r="AJ9" i="5"/>
  <c r="AL37" i="5" l="1"/>
  <c r="AM28" i="5" s="1"/>
  <c r="AM37" i="5" s="1"/>
  <c r="AN28" i="5" s="1"/>
  <c r="AN37" i="5" s="1"/>
  <c r="AL9" i="5"/>
  <c r="AL18" i="5" s="1"/>
  <c r="AM9" i="5" s="1"/>
  <c r="AM18" i="5" s="1"/>
  <c r="AN9" i="5" s="1"/>
  <c r="AN18" i="5" s="1"/>
  <c r="AK14" i="5"/>
  <c r="AJ25" i="7" l="1"/>
  <c r="AJ27" i="7" s="1"/>
  <c r="C35" i="4"/>
  <c r="C34" i="4"/>
  <c r="C33" i="4"/>
  <c r="C32" i="4"/>
  <c r="C30" i="4"/>
  <c r="C29" i="4"/>
  <c r="C28" i="4"/>
  <c r="Y16" i="4"/>
  <c r="Y15" i="4"/>
  <c r="Y14" i="4"/>
  <c r="Y10" i="4"/>
  <c r="Y9" i="4"/>
  <c r="Y37" i="4"/>
  <c r="Y31" i="4"/>
  <c r="AK19" i="3"/>
  <c r="AG15" i="3"/>
  <c r="AK17" i="3"/>
  <c r="AK15" i="3"/>
  <c r="AK44" i="3"/>
  <c r="AK47" i="3" s="1"/>
  <c r="AK38" i="3"/>
  <c r="AG17" i="3"/>
  <c r="AK15" i="2"/>
  <c r="AK14" i="2"/>
  <c r="AK13" i="2"/>
  <c r="AK12" i="2"/>
  <c r="AK11" i="2"/>
  <c r="AK52" i="2"/>
  <c r="AK45" i="2"/>
  <c r="Y37" i="1"/>
  <c r="Y13" i="1"/>
  <c r="Y9" i="1"/>
  <c r="AK51" i="6"/>
  <c r="AH46" i="6"/>
  <c r="AI46" i="6"/>
  <c r="AJ46" i="6"/>
  <c r="AK46" i="6"/>
  <c r="AH39" i="6"/>
  <c r="AI39" i="6"/>
  <c r="AJ39" i="6"/>
  <c r="AK39" i="6"/>
  <c r="AK10" i="2" l="1"/>
  <c r="AK21" i="3"/>
  <c r="AK59" i="2"/>
  <c r="AK65" i="2" s="1"/>
  <c r="AK67" i="2" s="1"/>
  <c r="AK33" i="2" s="1"/>
  <c r="Y18" i="4"/>
  <c r="Y12" i="4"/>
  <c r="Y29" i="1" l="1"/>
  <c r="Y27" i="1"/>
  <c r="Y39" i="1" s="1"/>
  <c r="Y43" i="1" s="1"/>
  <c r="AK24" i="6"/>
  <c r="AK29" i="6"/>
  <c r="AH24" i="6"/>
  <c r="AI24" i="6"/>
  <c r="AJ24" i="6"/>
  <c r="AH20" i="6"/>
  <c r="AH17" i="6" s="1"/>
  <c r="AI20" i="6"/>
  <c r="AJ20" i="6"/>
  <c r="AK20" i="6"/>
  <c r="AK17" i="6" s="1"/>
  <c r="AH9" i="6"/>
  <c r="AI9" i="6"/>
  <c r="AJ9" i="6"/>
  <c r="AK9" i="6"/>
  <c r="D10" i="2"/>
  <c r="AI21" i="3"/>
  <c r="AI23" i="3"/>
  <c r="AI47" i="3"/>
  <c r="S47" i="3"/>
  <c r="T47" i="3"/>
  <c r="R47" i="3"/>
  <c r="Q47" i="3"/>
  <c r="AJ37" i="5"/>
  <c r="D37" i="5" s="1"/>
  <c r="AJ16" i="5"/>
  <c r="AJ13" i="5"/>
  <c r="D13" i="5" s="1"/>
  <c r="AJ12" i="5"/>
  <c r="AJ11" i="5"/>
  <c r="AJ33" i="5"/>
  <c r="AI12" i="7"/>
  <c r="AI24" i="7"/>
  <c r="AI10" i="7" s="1"/>
  <c r="C10" i="7" s="1"/>
  <c r="AI23" i="7"/>
  <c r="X16" i="4"/>
  <c r="X15" i="4"/>
  <c r="C15" i="4" s="1"/>
  <c r="X14" i="4"/>
  <c r="C14" i="4" s="1"/>
  <c r="X10" i="4"/>
  <c r="C10" i="4" s="1"/>
  <c r="X9" i="4"/>
  <c r="X37" i="4"/>
  <c r="C37" i="4" s="1"/>
  <c r="X31" i="4"/>
  <c r="C31" i="4" s="1"/>
  <c r="AJ19" i="3"/>
  <c r="AJ17" i="3"/>
  <c r="AJ21" i="3" s="1"/>
  <c r="D21" i="3" s="1"/>
  <c r="AJ13" i="3"/>
  <c r="AJ11" i="3"/>
  <c r="AJ10" i="3"/>
  <c r="AJ9" i="3"/>
  <c r="AJ44" i="3"/>
  <c r="AJ47" i="3" s="1"/>
  <c r="C47" i="3" s="1"/>
  <c r="AJ38" i="3"/>
  <c r="AJ29" i="2"/>
  <c r="C29" i="2" s="1"/>
  <c r="E29" i="2" s="1"/>
  <c r="AJ28" i="2"/>
  <c r="C28" i="2" s="1"/>
  <c r="E28" i="2" s="1"/>
  <c r="AJ27" i="2"/>
  <c r="C27" i="2" s="1"/>
  <c r="E27" i="2" s="1"/>
  <c r="AJ22" i="2"/>
  <c r="C22" i="2" s="1"/>
  <c r="AJ23" i="2"/>
  <c r="C23" i="2" s="1"/>
  <c r="AJ20" i="2"/>
  <c r="C20" i="2" s="1"/>
  <c r="AJ19" i="2"/>
  <c r="C19" i="2" s="1"/>
  <c r="E19" i="2" s="1"/>
  <c r="AJ18" i="2"/>
  <c r="C18" i="2" s="1"/>
  <c r="E18" i="2" s="1"/>
  <c r="AJ15" i="2"/>
  <c r="C15" i="2" s="1"/>
  <c r="E15" i="2" s="1"/>
  <c r="AJ13" i="2"/>
  <c r="C13" i="2" s="1"/>
  <c r="E13" i="2" s="1"/>
  <c r="AJ12" i="2"/>
  <c r="C12" i="2" s="1"/>
  <c r="E12" i="2" s="1"/>
  <c r="AJ11" i="2"/>
  <c r="C11" i="2" s="1"/>
  <c r="AJ52" i="2"/>
  <c r="AJ45" i="2"/>
  <c r="U37" i="1"/>
  <c r="V37" i="1"/>
  <c r="W37" i="1"/>
  <c r="X37" i="1"/>
  <c r="U13" i="1"/>
  <c r="V13" i="1"/>
  <c r="W13" i="1"/>
  <c r="X13" i="1"/>
  <c r="X9" i="1"/>
  <c r="C9" i="1" s="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C33" i="5" s="1"/>
  <c r="AH10" i="7"/>
  <c r="AH9" i="7"/>
  <c r="W37" i="4"/>
  <c r="W16" i="4"/>
  <c r="W15" i="4"/>
  <c r="W14" i="4"/>
  <c r="W10" i="4"/>
  <c r="W9" i="4"/>
  <c r="W31" i="4"/>
  <c r="AI17" i="3"/>
  <c r="AI10" i="3"/>
  <c r="AI13" i="3"/>
  <c r="C13" i="3" s="1"/>
  <c r="AI11" i="3"/>
  <c r="AI9" i="3"/>
  <c r="AI38" i="3"/>
  <c r="AH17" i="3"/>
  <c r="AH21" i="3" s="1"/>
  <c r="C21" i="3" s="1"/>
  <c r="AI33" i="2"/>
  <c r="AI29" i="2"/>
  <c r="AI27" i="2"/>
  <c r="AI20" i="2"/>
  <c r="AI19" i="2"/>
  <c r="AI15" i="2"/>
  <c r="AI13" i="2"/>
  <c r="AI12" i="2"/>
  <c r="AI52" i="2"/>
  <c r="AI45" i="2"/>
  <c r="W9" i="1"/>
  <c r="AI51" i="6"/>
  <c r="AI29" i="6"/>
  <c r="AH12" i="5"/>
  <c r="AH11" i="5"/>
  <c r="AH16" i="5"/>
  <c r="AH13" i="5"/>
  <c r="AH33" i="5"/>
  <c r="AG10" i="7"/>
  <c r="AG9" i="7"/>
  <c r="AG11" i="7" s="1"/>
  <c r="AG25" i="7"/>
  <c r="V16" i="4"/>
  <c r="V15" i="4"/>
  <c r="V14" i="4"/>
  <c r="V10" i="4"/>
  <c r="V9" i="4"/>
  <c r="V37" i="4"/>
  <c r="V31" i="4"/>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C46" i="1"/>
  <c r="AG39" i="6"/>
  <c r="D39" i="6"/>
  <c r="AG16" i="5"/>
  <c r="AG13" i="5"/>
  <c r="AG12" i="5"/>
  <c r="AG11" i="5"/>
  <c r="AG33" i="5"/>
  <c r="AF10" i="7"/>
  <c r="AF9" i="7"/>
  <c r="AF25" i="7"/>
  <c r="AF27" i="7" s="1"/>
  <c r="U16" i="4"/>
  <c r="U15" i="4"/>
  <c r="U14" i="4"/>
  <c r="U10" i="4"/>
  <c r="U9" i="4"/>
  <c r="U37" i="4"/>
  <c r="U31" i="4"/>
  <c r="AG21" i="3"/>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C45" i="2" s="1"/>
  <c r="R37" i="1"/>
  <c r="S37" i="1"/>
  <c r="T37" i="1"/>
  <c r="R13" i="1"/>
  <c r="S13" i="1"/>
  <c r="T13" i="1"/>
  <c r="R9" i="1"/>
  <c r="R21" i="1" s="1"/>
  <c r="R27" i="1" s="1"/>
  <c r="S9" i="1"/>
  <c r="T9" i="1"/>
  <c r="U9" i="1"/>
  <c r="AD51" i="6"/>
  <c r="AE51" i="6"/>
  <c r="AF51" i="6"/>
  <c r="AG51" i="6"/>
  <c r="AD46" i="6"/>
  <c r="AE46" i="6"/>
  <c r="AF46" i="6"/>
  <c r="AG46" i="6"/>
  <c r="AG29" i="6"/>
  <c r="AG24" i="6"/>
  <c r="AG20" i="6"/>
  <c r="AG9" i="6"/>
  <c r="P9" i="1"/>
  <c r="AE25" i="7"/>
  <c r="AE11" i="7"/>
  <c r="U25" i="7"/>
  <c r="AD25" i="7"/>
  <c r="D31" i="5"/>
  <c r="AF33" i="5"/>
  <c r="AF37" i="5" s="1"/>
  <c r="D9" i="4"/>
  <c r="T37" i="4"/>
  <c r="T31" i="4"/>
  <c r="D9" i="3"/>
  <c r="AF52" i="2"/>
  <c r="T12" i="4"/>
  <c r="AF15" i="3"/>
  <c r="AF14" i="5"/>
  <c r="AF18" i="5" s="1"/>
  <c r="T18" i="4"/>
  <c r="AF45" i="2"/>
  <c r="D47" i="2"/>
  <c r="D46" i="2"/>
  <c r="AF39" i="6"/>
  <c r="AF20" i="6"/>
  <c r="AF29" i="6"/>
  <c r="AF24" i="6"/>
  <c r="AF9" i="6"/>
  <c r="U29" i="6"/>
  <c r="AE17" i="3"/>
  <c r="AE21" i="3" s="1"/>
  <c r="C47" i="2"/>
  <c r="C48" i="2"/>
  <c r="C49" i="2"/>
  <c r="O10" i="1"/>
  <c r="AE16" i="5"/>
  <c r="AE13" i="5"/>
  <c r="AE33" i="5"/>
  <c r="AE37" i="5" s="1"/>
  <c r="AE12" i="5"/>
  <c r="AE11" i="5"/>
  <c r="AD10" i="7"/>
  <c r="AD9" i="7"/>
  <c r="S16" i="4"/>
  <c r="S15" i="4"/>
  <c r="S14" i="4"/>
  <c r="S10" i="4"/>
  <c r="S9" i="4"/>
  <c r="S37" i="4"/>
  <c r="S31" i="4"/>
  <c r="AE13" i="3"/>
  <c r="AE11" i="3"/>
  <c r="AE10" i="3"/>
  <c r="AE52" i="2"/>
  <c r="AE45" i="2"/>
  <c r="D45" i="2"/>
  <c r="AE39" i="6"/>
  <c r="AE29" i="6"/>
  <c r="AE24" i="6"/>
  <c r="AE20" i="6"/>
  <c r="AE9" i="6"/>
  <c r="C25" i="7"/>
  <c r="C24" i="7"/>
  <c r="C23" i="7"/>
  <c r="B24" i="7"/>
  <c r="B23" i="7"/>
  <c r="C9" i="7"/>
  <c r="E23" i="2"/>
  <c r="E22" i="2"/>
  <c r="E20" i="2"/>
  <c r="D17" i="2"/>
  <c r="D35" i="5"/>
  <c r="D32" i="5"/>
  <c r="D30" i="5"/>
  <c r="D28" i="5"/>
  <c r="C35" i="5"/>
  <c r="C32" i="5"/>
  <c r="C31" i="5"/>
  <c r="C30" i="5"/>
  <c r="D16" i="5"/>
  <c r="D12" i="5"/>
  <c r="D11" i="5"/>
  <c r="D9" i="5"/>
  <c r="AD14" i="5"/>
  <c r="AD33" i="5"/>
  <c r="AD37" i="5" s="1"/>
  <c r="D33" i="5"/>
  <c r="AC25" i="7"/>
  <c r="E34" i="4"/>
  <c r="E29" i="4"/>
  <c r="E28" i="4"/>
  <c r="D18" i="4"/>
  <c r="D17" i="4"/>
  <c r="D16" i="4"/>
  <c r="D15" i="4"/>
  <c r="D14" i="4"/>
  <c r="D12" i="4"/>
  <c r="D11" i="4"/>
  <c r="D10" i="4"/>
  <c r="C17" i="4"/>
  <c r="C11" i="4"/>
  <c r="R18" i="4"/>
  <c r="R12" i="4"/>
  <c r="R37" i="4"/>
  <c r="R31" i="4"/>
  <c r="D44" i="3"/>
  <c r="D42" i="3"/>
  <c r="D40" i="3"/>
  <c r="D38" i="3"/>
  <c r="D36" i="3"/>
  <c r="D35" i="3"/>
  <c r="D34" i="3"/>
  <c r="D33" i="3"/>
  <c r="C42" i="3"/>
  <c r="C36" i="3"/>
  <c r="C35" i="3"/>
  <c r="C34" i="3"/>
  <c r="C33" i="3"/>
  <c r="D19" i="3"/>
  <c r="D17" i="3"/>
  <c r="D13" i="3"/>
  <c r="D12" i="3"/>
  <c r="D10" i="3"/>
  <c r="D66" i="2"/>
  <c r="D64" i="2"/>
  <c r="D63" i="2"/>
  <c r="D62" i="2"/>
  <c r="D61" i="2"/>
  <c r="D60" i="2"/>
  <c r="D58" i="2"/>
  <c r="D57" i="2"/>
  <c r="D56" i="2"/>
  <c r="D55" i="2"/>
  <c r="D54" i="2"/>
  <c r="D53" i="2"/>
  <c r="D51" i="2"/>
  <c r="D50" i="2"/>
  <c r="D49" i="2"/>
  <c r="D48" i="2"/>
  <c r="C66" i="2"/>
  <c r="C64" i="2"/>
  <c r="C63" i="2"/>
  <c r="C62" i="2"/>
  <c r="C61" i="2"/>
  <c r="C60" i="2"/>
  <c r="C58" i="2"/>
  <c r="C57" i="2"/>
  <c r="C56" i="2"/>
  <c r="C55" i="2"/>
  <c r="C54" i="2"/>
  <c r="C53" i="2"/>
  <c r="C51" i="2"/>
  <c r="C50" i="2"/>
  <c r="AD52" i="2"/>
  <c r="D52" i="2"/>
  <c r="AD45" i="2"/>
  <c r="D46" i="1"/>
  <c r="D45" i="1"/>
  <c r="D41" i="1"/>
  <c r="D37" i="1"/>
  <c r="D35" i="1"/>
  <c r="D34" i="1"/>
  <c r="D33" i="1"/>
  <c r="D32" i="1"/>
  <c r="D31" i="1"/>
  <c r="D28" i="1"/>
  <c r="D25" i="1"/>
  <c r="D24" i="1"/>
  <c r="D23" i="1"/>
  <c r="D22" i="1"/>
  <c r="D19" i="1"/>
  <c r="D18" i="1"/>
  <c r="D17" i="1"/>
  <c r="D16" i="1"/>
  <c r="D15" i="1"/>
  <c r="D14" i="1"/>
  <c r="D13" i="1"/>
  <c r="D11" i="1"/>
  <c r="D10" i="1"/>
  <c r="D9" i="1"/>
  <c r="C45" i="1"/>
  <c r="C41" i="1"/>
  <c r="C35" i="1"/>
  <c r="C34" i="1"/>
  <c r="C33" i="1"/>
  <c r="C32" i="1"/>
  <c r="C31"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Z9" i="6"/>
  <c r="AD39" i="6"/>
  <c r="AD29" i="6"/>
  <c r="AD24" i="6"/>
  <c r="AD20" i="6"/>
  <c r="AD9" i="6"/>
  <c r="D59" i="2"/>
  <c r="Q37" i="1"/>
  <c r="P37" i="1"/>
  <c r="C37" i="1"/>
  <c r="O37" i="1"/>
  <c r="N37" i="1"/>
  <c r="M37" i="1"/>
  <c r="L37" i="1"/>
  <c r="K37" i="1"/>
  <c r="J37" i="1"/>
  <c r="I37" i="1"/>
  <c r="Q13" i="1"/>
  <c r="P13" i="1"/>
  <c r="O13" i="1"/>
  <c r="N13" i="1"/>
  <c r="M13" i="1"/>
  <c r="L13" i="1"/>
  <c r="K13" i="1"/>
  <c r="J13" i="1"/>
  <c r="I13" i="1"/>
  <c r="Q9" i="1"/>
  <c r="O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B10" i="7"/>
  <c r="AA9" i="7"/>
  <c r="AA27" i="7"/>
  <c r="AB16" i="5"/>
  <c r="C16" i="5"/>
  <c r="AB13" i="5"/>
  <c r="C13" i="5"/>
  <c r="AB12" i="5"/>
  <c r="AB14" i="5" s="1"/>
  <c r="C12" i="5"/>
  <c r="AB11" i="5"/>
  <c r="C11" i="5"/>
  <c r="AB33" i="5"/>
  <c r="AA29" i="6"/>
  <c r="P16" i="4"/>
  <c r="C16" i="4"/>
  <c r="P15" i="4"/>
  <c r="P14" i="4"/>
  <c r="P10" i="4"/>
  <c r="P9" i="4"/>
  <c r="C9" i="4"/>
  <c r="AB19" i="3"/>
  <c r="C19" i="3"/>
  <c r="AB12" i="3"/>
  <c r="C12" i="3"/>
  <c r="AB11" i="3"/>
  <c r="C11" i="3"/>
  <c r="AB10" i="3"/>
  <c r="C10" i="3"/>
  <c r="AB9" i="3"/>
  <c r="C9" i="3"/>
  <c r="AB29" i="2"/>
  <c r="AB28" i="2"/>
  <c r="AB27" i="2"/>
  <c r="P31" i="4"/>
  <c r="AB38" i="3"/>
  <c r="C40" i="3"/>
  <c r="AA51" i="6"/>
  <c r="Z29" i="6"/>
  <c r="P37" i="4"/>
  <c r="AB45" i="2"/>
  <c r="AB46" i="6"/>
  <c r="C46" i="6"/>
  <c r="AB51" i="6"/>
  <c r="AB39" i="6"/>
  <c r="C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U18" i="5" s="1"/>
  <c r="V9" i="5" s="1"/>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W20" i="6"/>
  <c r="X20" i="6"/>
  <c r="Y20" i="6"/>
  <c r="I20" i="6"/>
  <c r="N12" i="4"/>
  <c r="N18" i="4"/>
  <c r="N31" i="4"/>
  <c r="N37" i="4"/>
  <c r="Y39" i="6"/>
  <c r="Y9" i="6"/>
  <c r="Y29" i="6"/>
  <c r="C17" i="3"/>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35" i="4"/>
  <c r="L31" i="4"/>
  <c r="AF11" i="7" l="1"/>
  <c r="C44" i="3"/>
  <c r="E44" i="3" s="1"/>
  <c r="V17" i="6"/>
  <c r="C51" i="6"/>
  <c r="AI25" i="7"/>
  <c r="L21" i="1"/>
  <c r="E35" i="1"/>
  <c r="E37" i="1"/>
  <c r="U18" i="4"/>
  <c r="E41" i="1"/>
  <c r="E33" i="5"/>
  <c r="E32" i="5"/>
  <c r="E31" i="5"/>
  <c r="AC17" i="6"/>
  <c r="S18" i="4"/>
  <c r="C38" i="3"/>
  <c r="E38" i="3" s="1"/>
  <c r="AB17" i="2"/>
  <c r="C10" i="2"/>
  <c r="E10" i="2" s="1"/>
  <c r="AB59" i="2"/>
  <c r="AB65" i="2" s="1"/>
  <c r="AB67" i="2" s="1"/>
  <c r="C17" i="2"/>
  <c r="E17" i="2" s="1"/>
  <c r="E11" i="2"/>
  <c r="AI17" i="2"/>
  <c r="AE25" i="2"/>
  <c r="AE31" i="2" s="1"/>
  <c r="AE33" i="2" s="1"/>
  <c r="D25" i="2"/>
  <c r="AD17" i="2"/>
  <c r="AD25" i="2" s="1"/>
  <c r="AD31" i="2" s="1"/>
  <c r="AD33" i="2" s="1"/>
  <c r="T59" i="2"/>
  <c r="T65" i="2" s="1"/>
  <c r="T67" i="2" s="1"/>
  <c r="Q25" i="2"/>
  <c r="Q31" i="2" s="1"/>
  <c r="Q33" i="2" s="1"/>
  <c r="AI59" i="2"/>
  <c r="AI65" i="2" s="1"/>
  <c r="O25" i="2"/>
  <c r="O31" i="2" s="1"/>
  <c r="O33" i="2" s="1"/>
  <c r="X25" i="2"/>
  <c r="X31" i="2" s="1"/>
  <c r="X33" i="2" s="1"/>
  <c r="AH10" i="2"/>
  <c r="L25" i="2"/>
  <c r="L31" i="2" s="1"/>
  <c r="L33" i="2" s="1"/>
  <c r="X21" i="1"/>
  <c r="X27" i="1" s="1"/>
  <c r="T21" i="1"/>
  <c r="T29" i="1" s="1"/>
  <c r="AE17" i="6"/>
  <c r="W17" i="6"/>
  <c r="J17" i="6"/>
  <c r="N17" i="6"/>
  <c r="AD17" i="6"/>
  <c r="S17" i="6"/>
  <c r="AE14" i="5"/>
  <c r="AE18" i="5" s="1"/>
  <c r="X12" i="4"/>
  <c r="C12" i="4" s="1"/>
  <c r="E12" i="4" s="1"/>
  <c r="AC15" i="3"/>
  <c r="S59" i="2"/>
  <c r="S65" i="2" s="1"/>
  <c r="S67" i="2" s="1"/>
  <c r="W25" i="2"/>
  <c r="W31" i="2" s="1"/>
  <c r="W33" i="2" s="1"/>
  <c r="AF10" i="2"/>
  <c r="J25" i="2"/>
  <c r="J31" i="2" s="1"/>
  <c r="J33" i="2" s="1"/>
  <c r="AC59" i="2"/>
  <c r="AC65" i="2" s="1"/>
  <c r="AC67" i="2" s="1"/>
  <c r="J21" i="1"/>
  <c r="J29" i="1" s="1"/>
  <c r="O21" i="1"/>
  <c r="O29" i="1" s="1"/>
  <c r="Q21" i="1"/>
  <c r="Q29" i="1" s="1"/>
  <c r="Z17" i="6"/>
  <c r="Y17" i="6"/>
  <c r="M17" i="6"/>
  <c r="Y37" i="5"/>
  <c r="Z28" i="5" s="1"/>
  <c r="Z37" i="5" s="1"/>
  <c r="AA28" i="5" s="1"/>
  <c r="AA37" i="5" s="1"/>
  <c r="AB28" i="5" s="1"/>
  <c r="AB37" i="5" s="1"/>
  <c r="AG14" i="5"/>
  <c r="E30" i="5"/>
  <c r="P21" i="1"/>
  <c r="P29" i="1" s="1"/>
  <c r="AI14" i="5"/>
  <c r="Z59" i="2"/>
  <c r="Z65" i="2" s="1"/>
  <c r="Z67" i="2" s="1"/>
  <c r="M25" i="2"/>
  <c r="M31" i="2" s="1"/>
  <c r="M33" i="2" s="1"/>
  <c r="AA59" i="2"/>
  <c r="AA65" i="2" s="1"/>
  <c r="AA67" i="2" s="1"/>
  <c r="P12" i="4"/>
  <c r="AC14" i="5"/>
  <c r="N21" i="1"/>
  <c r="N27" i="1" s="1"/>
  <c r="N39" i="1" s="1"/>
  <c r="N43" i="1" s="1"/>
  <c r="U12" i="4"/>
  <c r="E12" i="5"/>
  <c r="AH15" i="3"/>
  <c r="C13" i="1"/>
  <c r="E13" i="1" s="1"/>
  <c r="X18" i="4"/>
  <c r="C18" i="4" s="1"/>
  <c r="E18" i="4" s="1"/>
  <c r="W12" i="4"/>
  <c r="AI10" i="2"/>
  <c r="Q12" i="4"/>
  <c r="I21" i="1"/>
  <c r="I29" i="1" s="1"/>
  <c r="V21" i="1"/>
  <c r="V29" i="1" s="1"/>
  <c r="K17" i="6"/>
  <c r="K25" i="2"/>
  <c r="K31" i="2" s="1"/>
  <c r="K33" i="2" s="1"/>
  <c r="O17" i="6"/>
  <c r="I25" i="2"/>
  <c r="I31" i="2" s="1"/>
  <c r="I33" i="2" s="1"/>
  <c r="W59" i="2"/>
  <c r="W65" i="2" s="1"/>
  <c r="W67" i="2" s="1"/>
  <c r="V18" i="5"/>
  <c r="W9" i="5" s="1"/>
  <c r="W18" i="5" s="1"/>
  <c r="X9" i="5" s="1"/>
  <c r="X18" i="5" s="1"/>
  <c r="Y9" i="5" s="1"/>
  <c r="Y18" i="5" s="1"/>
  <c r="Z9" i="5" s="1"/>
  <c r="Z18" i="5" s="1"/>
  <c r="AA9" i="5" s="1"/>
  <c r="AA18" i="5" s="1"/>
  <c r="AB9" i="5" s="1"/>
  <c r="AB18" i="5" s="1"/>
  <c r="AC9" i="5" s="1"/>
  <c r="AC18" i="5" s="1"/>
  <c r="AD9" i="5" s="1"/>
  <c r="AD18" i="5" s="1"/>
  <c r="Q18" i="4"/>
  <c r="AJ17" i="6"/>
  <c r="V59" i="2"/>
  <c r="V65" i="2" s="1"/>
  <c r="V67" i="2" s="1"/>
  <c r="AE59" i="2"/>
  <c r="AE65" i="2" s="1"/>
  <c r="AE67" i="2" s="1"/>
  <c r="AG10" i="2"/>
  <c r="Y25" i="2"/>
  <c r="Y31" i="2" s="1"/>
  <c r="Y33" i="2" s="1"/>
  <c r="I17" i="6"/>
  <c r="U59" i="2"/>
  <c r="U65" i="2" s="1"/>
  <c r="U67" i="2" s="1"/>
  <c r="Z25" i="2"/>
  <c r="Z31" i="2" s="1"/>
  <c r="Z33" i="2" s="1"/>
  <c r="M21" i="1"/>
  <c r="M27" i="1" s="1"/>
  <c r="M39" i="1" s="1"/>
  <c r="M43" i="1" s="1"/>
  <c r="AD59" i="2"/>
  <c r="AD65" i="2" s="1"/>
  <c r="AD67" i="2" s="1"/>
  <c r="AI15" i="3"/>
  <c r="AI9" i="7"/>
  <c r="AE15" i="3"/>
  <c r="AD11" i="7"/>
  <c r="AH14" i="5"/>
  <c r="AJ10" i="2"/>
  <c r="AA11" i="7"/>
  <c r="AH11" i="7"/>
  <c r="W18" i="4"/>
  <c r="V12" i="4"/>
  <c r="P18" i="4"/>
  <c r="S12" i="4"/>
  <c r="V18" i="4"/>
  <c r="AJ15" i="3"/>
  <c r="D15" i="3" s="1"/>
  <c r="AB15" i="3"/>
  <c r="C52" i="2"/>
  <c r="E52" i="2" s="1"/>
  <c r="X59" i="2"/>
  <c r="X65" i="2" s="1"/>
  <c r="X67" i="2" s="1"/>
  <c r="AH17" i="2"/>
  <c r="T25" i="2"/>
  <c r="T31" i="2" s="1"/>
  <c r="T33" i="2" s="1"/>
  <c r="AH59" i="2"/>
  <c r="AH65" i="2" s="1"/>
  <c r="S25" i="2"/>
  <c r="S31" i="2" s="1"/>
  <c r="S33" i="2" s="1"/>
  <c r="Y59" i="2"/>
  <c r="Y65" i="2" s="1"/>
  <c r="Y67" i="2" s="1"/>
  <c r="AG59" i="2"/>
  <c r="AG65" i="2" s="1"/>
  <c r="AG67" i="2" s="1"/>
  <c r="AG33" i="2" s="1"/>
  <c r="AJ59" i="2"/>
  <c r="AJ65" i="2" s="1"/>
  <c r="AJ67" i="2" s="1"/>
  <c r="AF17" i="2"/>
  <c r="AF25" i="2" s="1"/>
  <c r="AF31" i="2" s="1"/>
  <c r="AF33" i="2" s="1"/>
  <c r="AI25" i="2"/>
  <c r="AI31" i="2" s="1"/>
  <c r="P25" i="2"/>
  <c r="P31" i="2" s="1"/>
  <c r="P33" i="2" s="1"/>
  <c r="R59" i="2"/>
  <c r="R65" i="2" s="1"/>
  <c r="R67" i="2" s="1"/>
  <c r="U25" i="2"/>
  <c r="U31" i="2" s="1"/>
  <c r="U33" i="2" s="1"/>
  <c r="Q59" i="2"/>
  <c r="Q65" i="2" s="1"/>
  <c r="Q67" i="2" s="1"/>
  <c r="E36" i="3"/>
  <c r="AB10" i="2"/>
  <c r="AB25" i="2" s="1"/>
  <c r="AB31" i="2" s="1"/>
  <c r="AB33" i="2" s="1"/>
  <c r="R25" i="2"/>
  <c r="R31" i="2" s="1"/>
  <c r="R33" i="2" s="1"/>
  <c r="N25" i="2"/>
  <c r="N31" i="2" s="1"/>
  <c r="N33" i="2" s="1"/>
  <c r="AA25" i="2"/>
  <c r="AA31" i="2" s="1"/>
  <c r="AA33" i="2" s="1"/>
  <c r="AC10" i="2"/>
  <c r="U21" i="1"/>
  <c r="U27" i="1" s="1"/>
  <c r="U39" i="1" s="1"/>
  <c r="U43" i="1" s="1"/>
  <c r="R39" i="1"/>
  <c r="R43" i="1" s="1"/>
  <c r="S21" i="1"/>
  <c r="S29" i="1" s="1"/>
  <c r="K21" i="1"/>
  <c r="K29" i="1" s="1"/>
  <c r="W21" i="1"/>
  <c r="W29" i="1" s="1"/>
  <c r="E39" i="6"/>
  <c r="R17" i="6"/>
  <c r="L17" i="6"/>
  <c r="AG17" i="6"/>
  <c r="T17" i="6"/>
  <c r="Q17" i="6"/>
  <c r="AF17" i="6"/>
  <c r="X17" i="6"/>
  <c r="AI17" i="6"/>
  <c r="U17" i="6"/>
  <c r="P17" i="6"/>
  <c r="AA17" i="6"/>
  <c r="AB17" i="6"/>
  <c r="AG28" i="5"/>
  <c r="AJ14" i="5"/>
  <c r="D14" i="5" s="1"/>
  <c r="E11" i="5"/>
  <c r="AJ17" i="2"/>
  <c r="AC17" i="2"/>
  <c r="E42" i="3"/>
  <c r="E35" i="3"/>
  <c r="V25" i="2"/>
  <c r="V31" i="2" s="1"/>
  <c r="V33" i="2" s="1"/>
  <c r="D23" i="7"/>
  <c r="C11" i="7"/>
  <c r="D10" i="7"/>
  <c r="E33" i="4"/>
  <c r="E31" i="4"/>
  <c r="E16" i="4"/>
  <c r="E14" i="4"/>
  <c r="E15" i="4"/>
  <c r="E9" i="4"/>
  <c r="E10" i="4"/>
  <c r="E37" i="4"/>
  <c r="E9" i="3"/>
  <c r="D47" i="3"/>
  <c r="AJ46" i="3"/>
  <c r="C46" i="3" s="1"/>
  <c r="D11" i="3"/>
  <c r="E11" i="3" s="1"/>
  <c r="E48" i="2"/>
  <c r="D24" i="7"/>
  <c r="AG17" i="2"/>
  <c r="E61" i="2"/>
  <c r="E62" i="2"/>
  <c r="E53" i="2"/>
  <c r="E10" i="3"/>
  <c r="E47" i="2"/>
  <c r="E57" i="2"/>
  <c r="E33" i="3"/>
  <c r="E12" i="3"/>
  <c r="E45" i="2"/>
  <c r="E17" i="3"/>
  <c r="E50" i="2"/>
  <c r="E55" i="2"/>
  <c r="E46" i="2"/>
  <c r="E13" i="3"/>
  <c r="E63" i="2"/>
  <c r="E34" i="3"/>
  <c r="D65" i="2"/>
  <c r="AF59" i="2"/>
  <c r="E31" i="1"/>
  <c r="E25" i="1"/>
  <c r="E10" i="1"/>
  <c r="E9" i="1"/>
  <c r="E18" i="1"/>
  <c r="E24" i="1"/>
  <c r="E14" i="1"/>
  <c r="E32" i="1"/>
  <c r="E15" i="1"/>
  <c r="E16" i="1"/>
  <c r="E34" i="1"/>
  <c r="T27" i="1"/>
  <c r="D21" i="1"/>
  <c r="L27" i="1"/>
  <c r="L39" i="1" s="1"/>
  <c r="L43" i="1" s="1"/>
  <c r="L29" i="1"/>
  <c r="R29" i="1"/>
  <c r="E19" i="1"/>
  <c r="E23" i="1"/>
  <c r="E11" i="1"/>
  <c r="E44" i="6"/>
  <c r="E41" i="6"/>
  <c r="E48" i="6"/>
  <c r="E46" i="6"/>
  <c r="C9" i="6"/>
  <c r="D9" i="6"/>
  <c r="A10" i="6"/>
  <c r="A11" i="6" s="1"/>
  <c r="C11" i="6" s="1"/>
  <c r="C14" i="5" l="1"/>
  <c r="I27" i="1"/>
  <c r="I39" i="1" s="1"/>
  <c r="I43" i="1" s="1"/>
  <c r="O27" i="1"/>
  <c r="O39" i="1" s="1"/>
  <c r="O43" i="1" s="1"/>
  <c r="AI27" i="7"/>
  <c r="B25" i="7"/>
  <c r="D25" i="7" s="1"/>
  <c r="C15" i="3"/>
  <c r="E15" i="3" s="1"/>
  <c r="U29" i="1"/>
  <c r="AG25" i="2"/>
  <c r="AG31" i="2" s="1"/>
  <c r="C25" i="2"/>
  <c r="E25" i="2" s="1"/>
  <c r="AC26" i="7"/>
  <c r="AC27" i="7" s="1"/>
  <c r="O12" i="7"/>
  <c r="O13" i="7" s="1"/>
  <c r="C31" i="2"/>
  <c r="C33" i="2" s="1"/>
  <c r="T26" i="7"/>
  <c r="T27" i="7" s="1"/>
  <c r="L12" i="7"/>
  <c r="L13" i="7" s="1"/>
  <c r="N12" i="7"/>
  <c r="N13" i="7" s="1"/>
  <c r="D31" i="2"/>
  <c r="K12" i="7"/>
  <c r="K13" i="7" s="1"/>
  <c r="AH25" i="2"/>
  <c r="AH31" i="2" s="1"/>
  <c r="X26" i="7"/>
  <c r="X27" i="7" s="1"/>
  <c r="AD26" i="7"/>
  <c r="AD27" i="7" s="1"/>
  <c r="AB26" i="7"/>
  <c r="AB27" i="7" s="1"/>
  <c r="V26" i="7"/>
  <c r="V27" i="7" s="1"/>
  <c r="M12" i="7"/>
  <c r="M13" i="7" s="1"/>
  <c r="P12" i="7"/>
  <c r="P13" i="7" s="1"/>
  <c r="W26" i="7"/>
  <c r="W27" i="7" s="1"/>
  <c r="U26" i="7"/>
  <c r="U27" i="7" s="1"/>
  <c r="W12" i="7"/>
  <c r="W13" i="7" s="1"/>
  <c r="X29" i="1"/>
  <c r="D29" i="1" s="1"/>
  <c r="K27" i="1"/>
  <c r="K39" i="1" s="1"/>
  <c r="K43" i="1" s="1"/>
  <c r="Q27" i="1"/>
  <c r="Q39" i="1" s="1"/>
  <c r="Q43" i="1" s="1"/>
  <c r="J27" i="1"/>
  <c r="J39" i="1" s="1"/>
  <c r="J43" i="1" s="1"/>
  <c r="E14" i="5"/>
  <c r="Z12" i="7"/>
  <c r="Z13" i="7" s="1"/>
  <c r="Q12" i="7"/>
  <c r="Q13" i="7" s="1"/>
  <c r="S26" i="7"/>
  <c r="S27" i="7" s="1"/>
  <c r="S27" i="1"/>
  <c r="S39" i="1" s="1"/>
  <c r="S43" i="1" s="1"/>
  <c r="M29" i="1"/>
  <c r="P27" i="1"/>
  <c r="P39" i="1" s="1"/>
  <c r="P43" i="1" s="1"/>
  <c r="W27" i="1"/>
  <c r="W39" i="1" s="1"/>
  <c r="W43" i="1" s="1"/>
  <c r="Y12" i="7"/>
  <c r="Y13" i="7" s="1"/>
  <c r="N29" i="1"/>
  <c r="V27" i="1"/>
  <c r="V39" i="1" s="1"/>
  <c r="V43" i="1" s="1"/>
  <c r="AJ25" i="2"/>
  <c r="AJ31" i="2" s="1"/>
  <c r="AJ33" i="2" s="1"/>
  <c r="AJ12" i="7" s="1"/>
  <c r="AJ13" i="7" s="1"/>
  <c r="U12" i="7"/>
  <c r="U13" i="7" s="1"/>
  <c r="D67" i="2"/>
  <c r="AK26" i="7"/>
  <c r="AK12" i="7" s="1"/>
  <c r="AI11" i="7"/>
  <c r="B9" i="7"/>
  <c r="D9" i="7" s="1"/>
  <c r="C21" i="1"/>
  <c r="E21" i="1" s="1"/>
  <c r="S12" i="7"/>
  <c r="S13" i="7" s="1"/>
  <c r="Z26" i="7"/>
  <c r="Z27" i="7" s="1"/>
  <c r="AJ18" i="5"/>
  <c r="AK9" i="5" s="1"/>
  <c r="AK18" i="5" s="1"/>
  <c r="X12" i="7"/>
  <c r="X13" i="7" s="1"/>
  <c r="AA12" i="7"/>
  <c r="AA13" i="7" s="1"/>
  <c r="V12" i="7"/>
  <c r="V13" i="7" s="1"/>
  <c r="T12" i="7"/>
  <c r="T13" i="7" s="1"/>
  <c r="Y26" i="7"/>
  <c r="Y27" i="7" s="1"/>
  <c r="R12" i="7"/>
  <c r="R13" i="7" s="1"/>
  <c r="AC25" i="2"/>
  <c r="AC31" i="2" s="1"/>
  <c r="AC33" i="2" s="1"/>
  <c r="D18" i="5"/>
  <c r="AG9" i="5"/>
  <c r="AG18" i="5" s="1"/>
  <c r="AH9" i="5" s="1"/>
  <c r="AG37" i="5"/>
  <c r="AH28" i="5" s="1"/>
  <c r="AJ23" i="3"/>
  <c r="D46" i="3"/>
  <c r="AG12" i="7"/>
  <c r="AH12" i="7"/>
  <c r="AH13" i="7" s="1"/>
  <c r="B12" i="7"/>
  <c r="AF12" i="7"/>
  <c r="AF13" i="7" s="1"/>
  <c r="C59" i="2"/>
  <c r="E59" i="2" s="1"/>
  <c r="AF65" i="2"/>
  <c r="AB40" i="3"/>
  <c r="T39" i="1"/>
  <c r="C27" i="1"/>
  <c r="X39" i="1"/>
  <c r="X43" i="1" s="1"/>
  <c r="D27" i="1"/>
  <c r="A12" i="6"/>
  <c r="D11" i="6"/>
  <c r="E9" i="6"/>
  <c r="D23" i="3" l="1"/>
  <c r="C23" i="3"/>
  <c r="C29" i="1"/>
  <c r="E29" i="1" s="1"/>
  <c r="E31" i="2"/>
  <c r="D33" i="2"/>
  <c r="E33" i="2" s="1"/>
  <c r="AH37" i="5"/>
  <c r="AH18" i="5"/>
  <c r="AK27" i="7"/>
  <c r="C27" i="7" s="1"/>
  <c r="C26" i="7"/>
  <c r="B11" i="7"/>
  <c r="D11" i="7" s="1"/>
  <c r="AI13" i="7"/>
  <c r="AE12" i="7"/>
  <c r="AE13" i="7" s="1"/>
  <c r="B13" i="7" s="1"/>
  <c r="AB12" i="7"/>
  <c r="AB13" i="7" s="1"/>
  <c r="AD12" i="7"/>
  <c r="AD13" i="7" s="1"/>
  <c r="AC12" i="7"/>
  <c r="AC13" i="7" s="1"/>
  <c r="AF67" i="2"/>
  <c r="C65" i="2"/>
  <c r="E65" i="2" s="1"/>
  <c r="AB44" i="3"/>
  <c r="AB46" i="3" s="1"/>
  <c r="AB17" i="3"/>
  <c r="AB21" i="3" s="1"/>
  <c r="E27" i="1"/>
  <c r="D43" i="1"/>
  <c r="D39" i="1"/>
  <c r="C39" i="1"/>
  <c r="T43" i="1"/>
  <c r="C43" i="1" s="1"/>
  <c r="E11" i="6"/>
  <c r="A13" i="6"/>
  <c r="D12" i="6"/>
  <c r="C12" i="6"/>
  <c r="E39" i="1" l="1"/>
  <c r="E43" i="1"/>
  <c r="AI9" i="5"/>
  <c r="AI28" i="5"/>
  <c r="AK13" i="7"/>
  <c r="C13" i="7" s="1"/>
  <c r="D13" i="7" s="1"/>
  <c r="C12" i="7"/>
  <c r="D12" i="7" s="1"/>
  <c r="C67" i="2"/>
  <c r="E67" i="2" s="1"/>
  <c r="AH26" i="7"/>
  <c r="AH27" i="7" s="1"/>
  <c r="AE26" i="7"/>
  <c r="AG26" i="7"/>
  <c r="AG27" i="7" s="1"/>
  <c r="E12" i="6"/>
  <c r="A14" i="6"/>
  <c r="C13" i="6"/>
  <c r="D13" i="6"/>
  <c r="AI37" i="5" l="1"/>
  <c r="C37" i="5" s="1"/>
  <c r="E37" i="5" s="1"/>
  <c r="C28" i="5"/>
  <c r="E28" i="5" s="1"/>
  <c r="AI18" i="5"/>
  <c r="C18" i="5" s="1"/>
  <c r="E18" i="5" s="1"/>
  <c r="C9" i="5"/>
  <c r="E9" i="5" s="1"/>
  <c r="E13" i="6"/>
  <c r="AE27" i="7"/>
  <c r="B27" i="7" s="1"/>
  <c r="D27" i="7" s="1"/>
  <c r="B26" i="7"/>
  <c r="D26" i="7" s="1"/>
  <c r="A15" i="6"/>
  <c r="D14" i="6"/>
  <c r="C14" i="6"/>
  <c r="A16" i="6" l="1"/>
  <c r="A17" i="6" s="1"/>
  <c r="D15" i="6"/>
  <c r="C15" i="6"/>
  <c r="E15" i="6" l="1"/>
  <c r="C17" i="6"/>
  <c r="A18" i="6"/>
  <c r="A19" i="6" s="1"/>
  <c r="E17" i="6" l="1"/>
  <c r="A20" i="6"/>
  <c r="D19" i="6"/>
  <c r="C19" i="6"/>
  <c r="E19" i="6" l="1"/>
  <c r="D20" i="6"/>
  <c r="C20" i="6"/>
  <c r="A21" i="6"/>
  <c r="A22" i="6" l="1"/>
  <c r="D21" i="6"/>
  <c r="C21" i="6"/>
  <c r="E20" i="6"/>
  <c r="E21" i="6" l="1"/>
  <c r="C22" i="6"/>
  <c r="D22" i="6"/>
  <c r="A23" i="6"/>
  <c r="E22" i="6" l="1"/>
  <c r="A24" i="6"/>
  <c r="D23" i="6"/>
  <c r="C23" i="6"/>
  <c r="E23" i="6" l="1"/>
  <c r="A25" i="6"/>
  <c r="C24" i="6"/>
  <c r="D24" i="6"/>
  <c r="C25" i="6" l="1"/>
  <c r="A26" i="6"/>
  <c r="D25" i="6"/>
  <c r="E25" i="6" l="1"/>
  <c r="C26" i="6"/>
  <c r="A27" i="6"/>
  <c r="D26" i="6"/>
  <c r="C27" i="6" l="1"/>
  <c r="D27" i="6"/>
  <c r="A28" i="6"/>
  <c r="C28" i="6" l="1"/>
  <c r="A29" i="6"/>
  <c r="D29" i="6" l="1"/>
  <c r="C29" i="6"/>
  <c r="AK17" i="2" l="1"/>
  <c r="AK25" i="2" s="1"/>
  <c r="AK31" i="2" s="1"/>
</calcChain>
</file>

<file path=xl/sharedStrings.xml><?xml version="1.0" encoding="utf-8"?>
<sst xmlns="http://schemas.openxmlformats.org/spreadsheetml/2006/main" count="847" uniqueCount="149">
  <si>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</si>
  <si>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</si>
  <si>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</si>
  <si>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</si>
  <si>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</si>
  <si>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</si>
  <si>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</si>
  <si>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</si>
  <si>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</si>
  <si>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</si>
  <si>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</si>
  <si>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</si>
  <si>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</si>
  <si>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</si>
  <si>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</si>
  <si>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</si>
  <si>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</si>
  <si>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</si>
  <si>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</si>
  <si>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</si>
  <si>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</si>
  <si>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</si>
  <si>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</si>
  <si>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</si>
  <si>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</si>
  <si>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</si>
  <si>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</si>
  <si>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</si>
  <si>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</si>
  <si>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</si>
  <si>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</si>
  <si>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</si>
  <si>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</si>
  <si>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</si>
  <si>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</si>
  <si>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</si>
  <si>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</si>
  <si>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</si>
  <si>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</si>
  <si>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</si>
  <si>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</si>
  <si>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</si>
  <si>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</si>
  <si>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</si>
  <si>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</si>
  <si>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</si>
  <si>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</si>
  <si>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</si>
  <si>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</si>
  <si>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</si>
  <si>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</si>
  <si>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</si>
  <si>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</si>
  <si>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</si>
  <si>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</si>
  <si>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</si>
  <si>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</si>
  <si>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</si>
  <si>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</si>
  <si>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</si>
  <si>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</si>
  <si>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</si>
  <si>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</si>
  <si>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</si>
  <si>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</si>
  <si>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</si>
  <si>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</si>
  <si>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</si>
  <si>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</si>
  <si>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</si>
  <si>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</si>
  <si>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</si>
  <si>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</si>
  <si>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</si>
  <si>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</si>
  <si>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</si>
  <si>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</si>
  <si>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</si>
  <si>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</si>
  <si>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</si>
  <si>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</si>
  <si>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</si>
  <si>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</si>
  <si>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</si>
  <si>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</si>
  <si>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</si>
  <si>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</si>
  <si>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</si>
  <si>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</si>
  <si>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</si>
  <si>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</si>
  <si>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</si>
  <si>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</si>
  <si>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</si>
  <si>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</si>
  <si>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</si>
  <si>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</si>
  <si>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</si>
  <si>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</si>
  <si>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</si>
  <si>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</si>
  <si>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</si>
  <si>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</si>
  <si>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</si>
  <si>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</si>
  <si>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</si>
  <si>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</si>
  <si>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</si>
  <si>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</si>
  <si>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</si>
  <si>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</si>
  <si>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</si>
  <si>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</si>
  <si>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</si>
  <si>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</si>
  <si>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</si>
  <si>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</si>
  <si>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</si>
  <si>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</si>
  <si>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</si>
  <si>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</si>
  <si>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</si>
  <si>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</si>
  <si>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</si>
  <si>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</si>
  <si>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</si>
  <si>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</si>
  <si>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</si>
  <si>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</si>
  <si>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</si>
  <si>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</si>
  <si>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</si>
  <si>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</si>
  <si>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</si>
  <si>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</si>
  <si>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</si>
  <si>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4Q20</t>
  </si>
  <si>
    <t xml:space="preserve">4Q19 </t>
  </si>
  <si>
    <t>1Q21</t>
  </si>
  <si>
    <t>2Q21</t>
  </si>
  <si>
    <t>3Q21</t>
  </si>
  <si>
    <t xml:space="preserve">    Wind Farm</t>
  </si>
  <si>
    <t>REVS(*)</t>
  </si>
  <si>
    <t>REVS (*)</t>
  </si>
  <si>
    <t>4Q21</t>
  </si>
  <si>
    <t>(*) Corresponds to the energy purchased from the Punta Palmeras wind farm and from Santa Isabel by Total Sun Power</t>
  </si>
  <si>
    <t xml:space="preserve">CHILE </t>
  </si>
  <si>
    <t>On September 30, Colbún executed the sale of its subsidiary Colbún Transmission S.A. to Alfa Desarrollo SpA, controlled 80% by APG Energy and Infra Investments and 20% by Celeo Redes. The energy transmission infrastructure sold corresponds to 899 km of transmission lines divided into 335 km of lines belonging to the National segment, 70 km belonging to the Zonal segment and 494 km belonging to the Dedicated segment. Additionally, Colbún Transmission S.A. owns 27 substations. Given this, results from Chile includes only the generation business from 4Q21 onwards.</t>
  </si>
  <si>
    <t>1Q22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</si>
</sst>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 #,##0_ ;_ * \-#,##0_ ;_ * &quot;-&quot;_ ;_ @_ "/>
    <numFmt numFmtId="43" formatCode="_ * #,##0.00_ ;_ * \-#,##0.00_ ;_ * &quot;-&quot;??_ ;_ @_ "/>
    <numFmt numFmtId="164" formatCode="_-* #,##0.00_-;\-* #,##0.00_-;_-* &quot;-&quot;??_-;_-@_-"/>
    <numFmt numFmtId="165" formatCode="_(* #,##0.00_);_(* \(#,##0.00\);_(* &quot;-&quot;??_);_(@_)"/>
    <numFmt numFmtId="166" formatCode="0.0"/>
    <numFmt numFmtId="167" formatCode="_(* #,##0.0_);_(* \(#,##0.0\);_(* &quot;-&quot;??_);_(@_)"/>
    <numFmt numFmtId="168" formatCode="_ * #,##0.0_ ;_ * \-#,##0.0_ ;_ * &quot;-&quot;_ ;_ @_ "/>
    <numFmt numFmtId="169" formatCode="_(* #,##0_);_(* \(#,##0\);_(* &quot;-&quot;??_);_(@_)"/>
    <numFmt numFmtId="170" formatCode="0%_);\(0%\)"/>
    <numFmt numFmtId="171" formatCode="0.000"/>
    <numFmt numFmtId="172" formatCode="_ * #,##0.0_ ;_ * \-#,##0.0_ ;_ * &quot;-&quot;?_ ;_ @_ "/>
    <numFmt numFmtId="173" formatCode="\-"/>
    <numFmt numFmtId="174" formatCode="_-[$€-2]\ * #,##0.00_-;\-[$€-2]\ * #,##0.00_-;_-[$€-2]\ * &quot;-&quot;??_-"/>
    <numFmt numFmtId="175" formatCode="#,##0.0"/>
    <numFmt numFmtId="176" formatCode="_-* #,##0.0_-;\-* #,##0.0_-;_-* &quot;-&quot;?_-;_-@_-"/>
    <numFmt numFmtId="177" formatCode="_-* #,##0_-;\-* #,##0_-;_-* &quot;-&quot;??_-;_-@_-"/>
    <numFmt numFmtId="178" formatCode="_ * #,##0.00_ ;_ * \-#,##0.00_ ;_ * &quot;-&quot;?_ ;_ @_ "/>
  </numFmts>
  <fonts count="15"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4">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9" fontId="7" fillId="0" borderId="0" applyFont="0" applyFill="0" applyBorder="0" applyAlignment="0" applyProtection="0"/>
    <xf numFmtId="0" fontId="8" fillId="0" borderId="0"/>
    <xf numFmtId="164" fontId="8" fillId="0" borderId="0" applyFont="0" applyFill="0" applyBorder="0" applyAlignment="0" applyProtection="0"/>
    <xf numFmtId="165" fontId="1" fillId="0" borderId="0" applyFont="0" applyFill="0" applyBorder="0" applyAlignment="0" applyProtection="0"/>
    <xf numFmtId="0" fontId="8" fillId="0" borderId="0"/>
    <xf numFmtId="174" fontId="8"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4" fontId="8" fillId="0" borderId="0" applyFont="0" applyFill="0" applyBorder="0" applyAlignment="0" applyProtection="0"/>
    <xf numFmtId="0" fontId="1" fillId="0" borderId="0"/>
  </cellStyleXfs>
  <cellXfs count="110">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6" fontId="2" fillId="2" borderId="0" xfId="0" applyNumberFormat="1" applyFont="1" applyFill="1"/>
    <xf numFmtId="167" fontId="2" fillId="2" borderId="0" xfId="0" applyNumberFormat="1" applyFont="1" applyFill="1" applyBorder="1" applyAlignment="1">
      <alignment horizontal="right" vertical="center"/>
    </xf>
    <xf numFmtId="167" fontId="4" fillId="5" borderId="0" xfId="0" applyNumberFormat="1" applyFont="1" applyFill="1"/>
    <xf numFmtId="166"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8" fontId="2" fillId="2" borderId="0" xfId="1" applyNumberFormat="1" applyFont="1" applyFill="1"/>
    <xf numFmtId="168" fontId="2" fillId="3" borderId="0" xfId="1" applyNumberFormat="1" applyFont="1" applyFill="1"/>
    <xf numFmtId="168" fontId="4" fillId="5" borderId="0" xfId="1" applyNumberFormat="1" applyFont="1" applyFill="1"/>
    <xf numFmtId="167" fontId="4" fillId="4" borderId="0" xfId="0" applyNumberFormat="1" applyFont="1" applyFill="1"/>
    <xf numFmtId="166" fontId="2" fillId="2" borderId="0" xfId="1" applyNumberFormat="1" applyFont="1" applyFill="1" applyBorder="1" applyAlignment="1">
      <alignment horizontal="right" vertical="center"/>
    </xf>
    <xf numFmtId="166" fontId="4" fillId="5" borderId="0" xfId="1" applyNumberFormat="1" applyFont="1" applyFill="1"/>
    <xf numFmtId="0" fontId="6" fillId="7" borderId="0" xfId="0" applyFont="1" applyFill="1"/>
    <xf numFmtId="167" fontId="6" fillId="7" borderId="0" xfId="0" applyNumberFormat="1" applyFont="1" applyFill="1" applyBorder="1" applyAlignment="1">
      <alignment horizontal="right" vertical="center"/>
    </xf>
    <xf numFmtId="166" fontId="2" fillId="3" borderId="0" xfId="1" applyNumberFormat="1" applyFont="1" applyFill="1"/>
    <xf numFmtId="166" fontId="6" fillId="7" borderId="0" xfId="1" applyNumberFormat="1" applyFont="1" applyFill="1" applyBorder="1" applyAlignment="1">
      <alignment horizontal="right" vertical="center"/>
    </xf>
    <xf numFmtId="169" fontId="4" fillId="5" borderId="0" xfId="0" applyNumberFormat="1" applyFont="1" applyFill="1"/>
    <xf numFmtId="169" fontId="2" fillId="2" borderId="0" xfId="0" applyNumberFormat="1" applyFont="1" applyFill="1" applyBorder="1" applyAlignment="1">
      <alignment horizontal="right" vertical="center"/>
    </xf>
    <xf numFmtId="169" fontId="2" fillId="3" borderId="0" xfId="0" applyNumberFormat="1" applyFont="1" applyFill="1"/>
    <xf numFmtId="169" fontId="6" fillId="7" borderId="0" xfId="0" applyNumberFormat="1" applyFont="1" applyFill="1" applyBorder="1" applyAlignment="1">
      <alignment horizontal="right" vertical="center"/>
    </xf>
    <xf numFmtId="0" fontId="6" fillId="2" borderId="0" xfId="0" applyFont="1" applyFill="1"/>
    <xf numFmtId="169"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6" fontId="4" fillId="5" borderId="0" xfId="0" applyNumberFormat="1" applyFont="1" applyFill="1"/>
    <xf numFmtId="166" fontId="2" fillId="3" borderId="0" xfId="0" applyNumberFormat="1" applyFont="1" applyFill="1"/>
    <xf numFmtId="166" fontId="2" fillId="2" borderId="0" xfId="0" applyNumberFormat="1" applyFont="1" applyFill="1" applyBorder="1" applyAlignment="1">
      <alignment horizontal="right" vertical="center"/>
    </xf>
    <xf numFmtId="166"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2" fillId="3" borderId="0" xfId="2" applyNumberFormat="1" applyFont="1" applyFill="1"/>
    <xf numFmtId="0" fontId="4" fillId="3" borderId="0" xfId="0" applyFont="1" applyFill="1" applyAlignment="1">
      <alignment horizontal="left"/>
    </xf>
    <xf numFmtId="167" fontId="4" fillId="3" borderId="0" xfId="0" applyNumberFormat="1" applyFont="1" applyFill="1"/>
    <xf numFmtId="170" fontId="4" fillId="3" borderId="0" xfId="2" applyNumberFormat="1" applyFont="1" applyFill="1"/>
    <xf numFmtId="167" fontId="2" fillId="2" borderId="0" xfId="0" applyNumberFormat="1" applyFont="1" applyFill="1"/>
    <xf numFmtId="166"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7"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1" fontId="2" fillId="3" borderId="0" xfId="0" applyNumberFormat="1" applyFont="1" applyFill="1"/>
    <xf numFmtId="167"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applyAlignment="1">
      <alignment horizontal="right"/>
    </xf>
    <xf numFmtId="41"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69" fontId="4" fillId="5" borderId="0" xfId="0" applyNumberFormat="1" applyFont="1" applyFill="1" applyAlignment="1">
      <alignment horizontal="center"/>
    </xf>
    <xf numFmtId="170" fontId="4" fillId="5" borderId="0" xfId="2" applyNumberFormat="1" applyFont="1" applyFill="1" applyAlignment="1">
      <alignment horizontal="center"/>
    </xf>
    <xf numFmtId="169"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9" fontId="6" fillId="2" borderId="0" xfId="0" applyNumberFormat="1" applyFont="1" applyFill="1" applyBorder="1" applyAlignment="1">
      <alignment horizontal="center" vertical="center"/>
    </xf>
    <xf numFmtId="169" fontId="2" fillId="3" borderId="0" xfId="0" applyNumberFormat="1" applyFont="1" applyFill="1" applyAlignment="1">
      <alignment horizontal="center"/>
    </xf>
    <xf numFmtId="170" fontId="6" fillId="2" borderId="0" xfId="2" applyNumberFormat="1" applyFont="1" applyFill="1" applyAlignment="1">
      <alignment horizontal="center"/>
    </xf>
    <xf numFmtId="169"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10" fillId="3" borderId="0" xfId="0" applyFont="1" applyFill="1"/>
    <xf numFmtId="3" fontId="2" fillId="2" borderId="0" xfId="0" applyNumberFormat="1" applyFont="1" applyFill="1" applyBorder="1" applyAlignment="1">
      <alignment horizontal="right" vertical="center"/>
    </xf>
    <xf numFmtId="173" fontId="2" fillId="2" borderId="0" xfId="0" applyNumberFormat="1" applyFont="1" applyFill="1"/>
    <xf numFmtId="0" fontId="4" fillId="4" borderId="0" xfId="0" applyFont="1" applyFill="1" applyAlignment="1">
      <alignment horizontal="center" vertical="center"/>
    </xf>
    <xf numFmtId="169" fontId="2" fillId="6" borderId="0" xfId="9" applyNumberFormat="1" applyFont="1" applyFill="1" applyAlignment="1">
      <alignment horizontal="center" vertical="center"/>
    </xf>
    <xf numFmtId="169" fontId="2" fillId="3" borderId="0" xfId="9" applyNumberFormat="1" applyFont="1" applyFill="1" applyAlignment="1">
      <alignment horizontal="center" vertical="center"/>
    </xf>
    <xf numFmtId="169" fontId="4" fillId="5" borderId="0" xfId="9" applyNumberFormat="1" applyFont="1" applyFill="1" applyAlignment="1">
      <alignment horizontal="center" vertical="center"/>
    </xf>
    <xf numFmtId="169" fontId="2" fillId="2" borderId="0" xfId="9" applyNumberFormat="1" applyFont="1" applyFill="1" applyBorder="1" applyAlignment="1">
      <alignment horizontal="center" vertical="center"/>
    </xf>
    <xf numFmtId="169" fontId="6" fillId="2" borderId="0" xfId="9" applyNumberFormat="1" applyFont="1" applyFill="1" applyBorder="1" applyAlignment="1">
      <alignment horizontal="center" vertical="center"/>
    </xf>
    <xf numFmtId="169" fontId="6" fillId="7" borderId="0" xfId="9" applyNumberFormat="1" applyFont="1" applyFill="1" applyBorder="1" applyAlignment="1">
      <alignment horizontal="center" vertical="center"/>
    </xf>
    <xf numFmtId="170" fontId="2" fillId="2" borderId="0" xfId="2" applyNumberFormat="1" applyFont="1" applyFill="1" applyAlignment="1">
      <alignment horizontal="right" vertical="center"/>
    </xf>
    <xf numFmtId="167" fontId="2" fillId="3" borderId="0" xfId="9" applyNumberFormat="1" applyFont="1" applyFill="1"/>
    <xf numFmtId="175" fontId="2" fillId="2" borderId="0" xfId="0" applyNumberFormat="1" applyFont="1" applyFill="1"/>
    <xf numFmtId="167" fontId="2" fillId="2" borderId="0" xfId="0" applyNumberFormat="1" applyFont="1" applyFill="1" applyAlignment="1">
      <alignment horizontal="right"/>
    </xf>
    <xf numFmtId="9" fontId="6" fillId="2" borderId="0" xfId="2" applyFont="1" applyFill="1" applyAlignment="1">
      <alignment horizontal="center"/>
    </xf>
    <xf numFmtId="170" fontId="2" fillId="3" borderId="0" xfId="0" applyNumberFormat="1" applyFont="1" applyFill="1" applyAlignment="1">
      <alignment horizontal="center"/>
    </xf>
    <xf numFmtId="176" fontId="2" fillId="3" borderId="0" xfId="0" applyNumberFormat="1" applyFont="1" applyFill="1"/>
    <xf numFmtId="167" fontId="2" fillId="0" borderId="0" xfId="0" applyNumberFormat="1" applyFont="1" applyFill="1" applyBorder="1" applyAlignment="1">
      <alignment horizontal="right" vertical="center"/>
    </xf>
    <xf numFmtId="164" fontId="2" fillId="3" borderId="0" xfId="0" applyNumberFormat="1" applyFont="1" applyFill="1"/>
    <xf numFmtId="167" fontId="2" fillId="3" borderId="0" xfId="2" applyNumberFormat="1" applyFont="1" applyFill="1"/>
    <xf numFmtId="9" fontId="2" fillId="2" borderId="0" xfId="2" applyFont="1" applyFill="1"/>
    <xf numFmtId="170" fontId="4" fillId="5" borderId="0" xfId="2" applyNumberFormat="1" applyFont="1" applyFill="1" applyAlignment="1">
      <alignment horizontal="right"/>
    </xf>
    <xf numFmtId="177" fontId="11" fillId="2" borderId="0" xfId="8" applyNumberFormat="1" applyFont="1" applyFill="1"/>
    <xf numFmtId="41" fontId="11" fillId="2" borderId="0" xfId="1" applyFont="1" applyFill="1"/>
    <xf numFmtId="178" fontId="2" fillId="3" borderId="0" xfId="0" applyNumberFormat="1" applyFont="1" applyFill="1"/>
    <xf numFmtId="41" fontId="2" fillId="3" borderId="0" xfId="1" applyFont="1" applyFill="1"/>
    <xf numFmtId="0" fontId="2" fillId="3" borderId="0" xfId="0" quotePrefix="1" applyFont="1" applyFill="1"/>
    <xf numFmtId="170" fontId="2" fillId="3" borderId="0" xfId="0" applyNumberFormat="1" applyFont="1" applyFill="1" applyAlignment="1">
      <alignment horizontal="right"/>
    </xf>
    <xf numFmtId="3" fontId="2" fillId="3" borderId="0" xfId="0" applyNumberFormat="1" applyFont="1" applyFill="1"/>
    <xf numFmtId="0" fontId="4" fillId="4" borderId="0" xfId="0" applyFont="1" applyFill="1" applyAlignment="1">
      <alignment horizontal="center" vertical="center"/>
    </xf>
    <xf numFmtId="168" fontId="2" fillId="2" borderId="0" xfId="1" applyNumberFormat="1" applyFont="1" applyFill="1" applyAlignment="1">
      <alignment horizontal="right"/>
    </xf>
    <xf numFmtId="0" fontId="2" fillId="3" borderId="0" xfId="0" applyFont="1" applyFill="1" applyAlignment="1">
      <alignment horizontal="center" wrapText="1"/>
    </xf>
    <xf numFmtId="0" fontId="4" fillId="4" borderId="0" xfId="0" applyFont="1" applyFill="1" applyAlignment="1">
      <alignment horizontal="center" vertical="center"/>
    </xf>
    <xf numFmtId="169" fontId="4" fillId="4" borderId="0" xfId="9" applyNumberFormat="1" applyFont="1" applyFill="1" applyAlignment="1">
      <alignment horizontal="center" vertical="center"/>
    </xf>
    <xf numFmtId="0" fontId="4" fillId="4" borderId="0" xfId="0" applyFont="1" applyFill="1" applyAlignment="1">
      <alignment horizontal="center" vertical="center" wrapText="1"/>
    </xf>
    <xf numFmtId="0" fontId="2" fillId="3" borderId="0" xfId="0" applyFont="1" applyFill="1" applyAlignment="1">
      <alignment horizontal="left" vertical="top" wrapText="1"/>
    </xf>
    <xf numFmtId="0" fontId="2" fillId="3" borderId="0" xfId="0" applyFont="1" applyFill="1" applyAlignment="1">
      <alignment horizontal="left" vertical="center"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cellXfs>
  <cellStyles count="24">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Normal 7" xfId="23" xr:uid="{AD298A14-4044-4B5E-AEF1-EABE3F95FDD4}"/>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130996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1391814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1393190</xdr:colOff>
      <xdr:row>2</xdr:row>
      <xdr:rowOff>129559</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0</xdr:col>
      <xdr:colOff>0</xdr:colOff>
      <xdr:row>37</xdr:row>
      <xdr:rowOff>107156</xdr:rowOff>
    </xdr:from>
    <xdr:to>
      <xdr:col>1</xdr:col>
      <xdr:colOff>1333500</xdr:colOff>
      <xdr:row>39</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431881"/>
          <a:ext cx="1333500" cy="6558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1351915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1355725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1159297</xdr:colOff>
      <xdr:row>2</xdr:row>
      <xdr:rowOff>129950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1272642</xdr:colOff>
      <xdr:row>2</xdr:row>
      <xdr:rowOff>132806</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1355725</xdr:colOff>
      <xdr:row>17</xdr:row>
      <xdr:rowOff>56192</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1199302</xdr:colOff>
      <xdr:row>2</xdr:row>
      <xdr:rowOff>130899</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39841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92324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1351915</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zaldivar\AppData\Local\Microsoft\Windows\INetCache\Content.Outlook\D4D6BS83\00.%20Balance%20de%20gesti&#243;n%20-%20Mar%202022%20v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_BI_BLCE"/>
      <sheetName val="TABLA_BI_EERR"/>
      <sheetName val="TABLA_DTC"/>
      <sheetName val="TC"/>
      <sheetName val="PAV2"/>
      <sheetName val="TABLAS DESCALCE"/>
      <sheetName val="Plan de Cuentas Hana"/>
      <sheetName val="tabla cuentas desclace"/>
      <sheetName val="Portada"/>
      <sheetName val="00.BD"/>
      <sheetName val="TABLA"/>
      <sheetName val="Tabla IFRS"/>
      <sheetName val="Índice"/>
      <sheetName val="balanceE"/>
      <sheetName val="01.BALANCE"/>
      <sheetName val="02.RESULTADO CONS"/>
      <sheetName val="03.RESULTADO FENP"/>
      <sheetName val="04.RESULTADO GX"/>
      <sheetName val="Clave Balance"/>
      <sheetName val="Clave Resultado"/>
      <sheetName val="05. Plan 2022 Gx"/>
      <sheetName val="06.DESCALCE CONS"/>
      <sheetName val="07.DESCALCE CONS V2"/>
      <sheetName val="09.Activo"/>
      <sheetName val="10.Pasivo"/>
      <sheetName val="11.Resultados"/>
      <sheetName val="12.Otro Resultado Integral"/>
      <sheetName val="13.Cambios"/>
      <sheetName val="14.BAL AR"/>
      <sheetName val="15.EERR CONS"/>
      <sheetName val="16.EERR AR FENP"/>
      <sheetName val="17.EERR AR GX"/>
      <sheetName val="19.Indicad"/>
      <sheetName val="20. IF"/>
      <sheetName val="EFE"/>
      <sheetName val="BD-R° (2)"/>
      <sheetName val="EEFF Desaladora"/>
      <sheetName val="Compras a Efiz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O3">
            <v>1175.0899999999999</v>
          </cell>
          <cell r="R3">
            <v>21.9</v>
          </cell>
          <cell r="S3">
            <v>60.866082339999991</v>
          </cell>
        </row>
        <row r="11">
          <cell r="R11">
            <v>1695.91</v>
          </cell>
          <cell r="S11">
            <v>350.49495662999999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Z53"/>
  <sheetViews>
    <sheetView topLeftCell="B1" zoomScale="110" zoomScaleNormal="110" workbookViewId="0">
      <selection activeCell="M26" sqref="M26"/>
    </sheetView>
  </sheetViews>
  <sheetFormatPr baseColWidth="10" defaultColWidth="11.42578125" defaultRowHeight="15" x14ac:dyDescent="0.3"/>
  <cols>
    <col min="1" max="1" width="7.28515625" style="1" hidden="1" customWidth="1"/>
    <col min="2" max="2" width="40" style="1" bestFit="1" customWidth="1"/>
    <col min="3" max="3" width="11.42578125" style="1"/>
    <col min="4" max="4" width="11.42578125" style="75"/>
    <col min="5" max="7" width="11.42578125" style="1"/>
    <col min="8" max="8" width="37.42578125" style="1" customWidth="1"/>
    <col min="9" max="36" width="11.42578125" style="1" customWidth="1"/>
    <col min="37" max="37" width="11.42578125" style="1"/>
    <col min="38" max="40" width="11.42578125" style="1" customWidth="1"/>
    <col min="41" max="16384" width="11.42578125" style="1"/>
  </cols>
  <sheetData>
    <row r="4" spans="1:43" ht="23.25" x14ac:dyDescent="0.35">
      <c r="B4" s="12" t="s">
        <v>0</v>
      </c>
      <c r="C4" s="13"/>
      <c r="D4" s="74"/>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row>
    <row r="6" spans="1:43" x14ac:dyDescent="0.3">
      <c r="A6" s="1">
        <v>1</v>
      </c>
      <c r="B6" s="3" t="s">
        <v>1</v>
      </c>
      <c r="C6" s="102" t="s">
        <v>138</v>
      </c>
      <c r="D6" s="103" t="s">
        <v>148</v>
      </c>
      <c r="E6" s="102" t="s">
        <v>4</v>
      </c>
      <c r="H6" s="3" t="s">
        <v>5</v>
      </c>
      <c r="I6" s="102" t="s">
        <v>6</v>
      </c>
      <c r="J6" s="102" t="s">
        <v>7</v>
      </c>
      <c r="K6" s="102" t="s">
        <v>8</v>
      </c>
      <c r="L6" s="102" t="s">
        <v>9</v>
      </c>
      <c r="M6" s="102" t="s">
        <v>10</v>
      </c>
      <c r="N6" s="102" t="s">
        <v>11</v>
      </c>
      <c r="O6" s="102" t="s">
        <v>12</v>
      </c>
      <c r="P6" s="102" t="s">
        <v>13</v>
      </c>
      <c r="Q6" s="102" t="s">
        <v>14</v>
      </c>
      <c r="R6" s="102" t="s">
        <v>15</v>
      </c>
      <c r="S6" s="102" t="s">
        <v>16</v>
      </c>
      <c r="T6" s="102" t="s">
        <v>17</v>
      </c>
      <c r="U6" s="102" t="s">
        <v>18</v>
      </c>
      <c r="V6" s="102" t="s">
        <v>19</v>
      </c>
      <c r="W6" s="102" t="s">
        <v>20</v>
      </c>
      <c r="X6" s="102" t="s">
        <v>21</v>
      </c>
      <c r="Y6" s="102" t="s">
        <v>22</v>
      </c>
      <c r="Z6" s="102" t="s">
        <v>23</v>
      </c>
      <c r="AA6" s="102" t="s">
        <v>24</v>
      </c>
      <c r="AB6" s="102" t="s">
        <v>2</v>
      </c>
      <c r="AC6" s="102" t="s">
        <v>25</v>
      </c>
      <c r="AD6" s="102" t="s">
        <v>26</v>
      </c>
      <c r="AE6" s="102" t="s">
        <v>27</v>
      </c>
      <c r="AF6" s="102" t="s">
        <v>3</v>
      </c>
      <c r="AG6" s="102" t="s">
        <v>124</v>
      </c>
      <c r="AH6" s="102" t="s">
        <v>126</v>
      </c>
      <c r="AI6" s="102" t="s">
        <v>135</v>
      </c>
      <c r="AJ6" s="102" t="s">
        <v>136</v>
      </c>
      <c r="AK6" s="102" t="s">
        <v>138</v>
      </c>
      <c r="AL6" s="102" t="s">
        <v>139</v>
      </c>
      <c r="AM6" s="102" t="s">
        <v>140</v>
      </c>
      <c r="AN6" s="102" t="s">
        <v>144</v>
      </c>
      <c r="AO6" s="102" t="s">
        <v>148</v>
      </c>
    </row>
    <row r="7" spans="1:43" x14ac:dyDescent="0.3">
      <c r="A7" s="1">
        <f>+A6+1</f>
        <v>2</v>
      </c>
      <c r="B7" s="3" t="s">
        <v>28</v>
      </c>
      <c r="C7" s="102"/>
      <c r="D7" s="103"/>
      <c r="E7" s="102"/>
      <c r="H7" s="3" t="s">
        <v>28</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row>
    <row r="8" spans="1:43" x14ac:dyDescent="0.3">
      <c r="A8" s="1">
        <f t="shared" ref="A8:A29" si="0">+A7+1</f>
        <v>3</v>
      </c>
      <c r="C8" s="66"/>
      <c r="D8" s="66"/>
      <c r="E8" s="59"/>
    </row>
    <row r="9" spans="1:43" x14ac:dyDescent="0.3">
      <c r="A9" s="1">
        <f t="shared" si="0"/>
        <v>4</v>
      </c>
      <c r="B9" s="6" t="s">
        <v>29</v>
      </c>
      <c r="C9" s="60">
        <f>+HLOOKUP($C$6,H6:AS29,A9,FALSE)</f>
        <v>2521.9834357051286</v>
      </c>
      <c r="D9" s="76">
        <f>+HLOOKUP($D$6,$H$6:$BL$29,A9,FALSE)</f>
        <v>3189.1785544571021</v>
      </c>
      <c r="E9" s="61">
        <f>D9/C9-1</f>
        <v>0.26455174499012135</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O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3453.1873442230267</v>
      </c>
      <c r="AJ9" s="24">
        <f t="shared" si="4"/>
        <v>2677.069158441248</v>
      </c>
      <c r="AK9" s="24">
        <f t="shared" si="4"/>
        <v>2521.9834357051286</v>
      </c>
      <c r="AL9" s="24">
        <f t="shared" si="4"/>
        <v>3075.8702213144702</v>
      </c>
      <c r="AM9" s="24">
        <f t="shared" si="4"/>
        <v>2755.1397553816778</v>
      </c>
      <c r="AN9" s="24">
        <f t="shared" si="4"/>
        <v>2569.0480403348361</v>
      </c>
      <c r="AO9" s="24">
        <f t="shared" si="4"/>
        <v>3189.1785544571021</v>
      </c>
      <c r="AQ9" s="26"/>
    </row>
    <row r="10" spans="1:43" ht="5.25" customHeight="1" x14ac:dyDescent="0.3">
      <c r="A10" s="1">
        <f t="shared" si="0"/>
        <v>5</v>
      </c>
      <c r="C10" s="59"/>
      <c r="E10" s="59"/>
    </row>
    <row r="11" spans="1:43" x14ac:dyDescent="0.3">
      <c r="A11" s="1">
        <f t="shared" si="0"/>
        <v>6</v>
      </c>
      <c r="B11" s="5" t="s">
        <v>30</v>
      </c>
      <c r="C11" s="62">
        <f>+HLOOKUP($C$6,$H$6:$AS$31,A11,FALSE)</f>
        <v>727.339743</v>
      </c>
      <c r="D11" s="77">
        <f>+HLOOKUP($D$6,$H$6:$BK$29,A11,FALSE)</f>
        <v>551.28878070053247</v>
      </c>
      <c r="E11" s="63">
        <f>+D11/C11-1</f>
        <v>-0.24204776927674021</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827.47447275453328</v>
      </c>
      <c r="AJ11" s="25">
        <v>753.238795281791</v>
      </c>
      <c r="AK11" s="25">
        <v>727.339743</v>
      </c>
      <c r="AL11" s="25">
        <v>789.44461200000001</v>
      </c>
      <c r="AM11" s="25">
        <v>845.33437100000003</v>
      </c>
      <c r="AN11" s="25">
        <v>737.14997254529067</v>
      </c>
      <c r="AO11" s="25">
        <v>551.28878070053247</v>
      </c>
      <c r="AQ11" s="26"/>
    </row>
    <row r="12" spans="1:43" x14ac:dyDescent="0.3">
      <c r="A12" s="1">
        <f t="shared" si="0"/>
        <v>7</v>
      </c>
      <c r="B12" s="5" t="s">
        <v>31</v>
      </c>
      <c r="C12" s="62">
        <f>+HLOOKUP($C$6,$H$6:$AS$31,A12,FALSE)</f>
        <v>1707.3468317219999</v>
      </c>
      <c r="D12" s="77">
        <f>+HLOOKUP($D$6,$H$6:$BK$29,A12,FALSE)</f>
        <v>2400.3483970692996</v>
      </c>
      <c r="E12" s="64">
        <f t="shared" ref="E12:E13" si="5">+D12/C12-1</f>
        <v>0.40589384211311685</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1836.2943763810001</v>
      </c>
      <c r="AJ12" s="25">
        <v>1888.6207892510001</v>
      </c>
      <c r="AK12" s="25">
        <v>1707.3468317219999</v>
      </c>
      <c r="AL12" s="25">
        <v>1664.834742816</v>
      </c>
      <c r="AM12" s="25">
        <v>1656.1685869109997</v>
      </c>
      <c r="AN12" s="25">
        <v>1652.1039219766974</v>
      </c>
      <c r="AO12" s="25">
        <v>2400.3483970692996</v>
      </c>
      <c r="AQ12" s="26"/>
    </row>
    <row r="13" spans="1:43" x14ac:dyDescent="0.3">
      <c r="A13" s="1">
        <f t="shared" si="0"/>
        <v>8</v>
      </c>
      <c r="B13" s="5" t="s">
        <v>32</v>
      </c>
      <c r="C13" s="62">
        <f>+HLOOKUP($C$6,$H$6:$AS$31,A13,FALSE)</f>
        <v>87.296860983128909</v>
      </c>
      <c r="D13" s="77">
        <f>+HLOOKUP($D$6,$H$6:$BK$29,A13,FALSE)</f>
        <v>237.54137668726958</v>
      </c>
      <c r="E13" s="63">
        <f t="shared" si="5"/>
        <v>1.7210758097381884</v>
      </c>
      <c r="H13" s="5"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1">
        <v>0</v>
      </c>
      <c r="AG13" s="71">
        <v>399.97817196043991</v>
      </c>
      <c r="AH13" s="71">
        <v>500.52412506537814</v>
      </c>
      <c r="AI13" s="71">
        <v>789.41849508749317</v>
      </c>
      <c r="AJ13" s="71">
        <v>35.209573908457287</v>
      </c>
      <c r="AK13" s="71">
        <v>87.296860983128909</v>
      </c>
      <c r="AL13" s="71">
        <v>621.59086649847029</v>
      </c>
      <c r="AM13" s="71">
        <v>253.63679747067806</v>
      </c>
      <c r="AN13" s="71">
        <v>179.794145812848</v>
      </c>
      <c r="AO13" s="71">
        <v>237.54137668726958</v>
      </c>
      <c r="AP13" s="98"/>
    </row>
    <row r="14" spans="1:43" ht="5.25" customHeight="1" x14ac:dyDescent="0.3">
      <c r="A14" s="1">
        <f t="shared" si="0"/>
        <v>9</v>
      </c>
      <c r="C14" s="66">
        <f>+HLOOKUP($C$6,$H$6:$AS$31,A14,FALSE)</f>
        <v>0</v>
      </c>
      <c r="D14" s="75">
        <f>+HLOOKUP($D$6,$H$6:$BK$29,A14,FALSE)</f>
        <v>0</v>
      </c>
      <c r="E14" s="59"/>
      <c r="I14" s="26"/>
      <c r="J14" s="26"/>
      <c r="K14" s="26"/>
      <c r="L14" s="26"/>
      <c r="M14" s="26"/>
      <c r="N14" s="26"/>
      <c r="O14" s="26"/>
      <c r="P14" s="26"/>
      <c r="Q14" s="26"/>
      <c r="R14" s="26"/>
      <c r="S14" s="26"/>
      <c r="T14" s="26"/>
      <c r="U14" s="26"/>
      <c r="V14" s="26"/>
      <c r="W14" s="26"/>
      <c r="X14" s="26"/>
      <c r="Y14" s="26"/>
      <c r="Z14" s="26"/>
      <c r="AA14" s="26"/>
      <c r="AB14" s="26"/>
      <c r="AC14" s="26"/>
      <c r="AD14" s="26"/>
      <c r="AE14" s="26"/>
    </row>
    <row r="15" spans="1:43" x14ac:dyDescent="0.3">
      <c r="A15" s="1">
        <f t="shared" si="0"/>
        <v>10</v>
      </c>
      <c r="B15" s="5" t="s">
        <v>33</v>
      </c>
      <c r="C15" s="62">
        <f>+HLOOKUP($C$6,$H$6:$AS$31,A15,FALSE)</f>
        <v>1323.0963587452404</v>
      </c>
      <c r="D15" s="77">
        <f>+HLOOKUP($D$6,$H$6:$BK$29,A15,FALSE)</f>
        <v>1516.5431818730519</v>
      </c>
      <c r="E15" s="63">
        <f t="shared" ref="E15" si="6">+D15/C15-1</f>
        <v>0.14620766042411826</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1486.0694283366595</v>
      </c>
      <c r="AJ15" s="25">
        <v>1469.0334855196272</v>
      </c>
      <c r="AK15" s="25">
        <v>1323.0963587452404</v>
      </c>
      <c r="AL15" s="25">
        <v>1315.5343324460166</v>
      </c>
      <c r="AM15" s="25">
        <v>1321.7239555187668</v>
      </c>
      <c r="AN15" s="25">
        <v>1316.1900882999998</v>
      </c>
      <c r="AO15" s="25">
        <v>1516.5431818730519</v>
      </c>
    </row>
    <row r="16" spans="1:43" ht="10.5" customHeight="1" x14ac:dyDescent="0.3">
      <c r="A16" s="1">
        <f t="shared" si="0"/>
        <v>11</v>
      </c>
      <c r="C16" s="59"/>
      <c r="E16" s="59"/>
    </row>
    <row r="17" spans="1:52" x14ac:dyDescent="0.3">
      <c r="A17" s="1">
        <f t="shared" si="0"/>
        <v>12</v>
      </c>
      <c r="B17" s="6" t="s">
        <v>34</v>
      </c>
      <c r="C17" s="60">
        <f>+HLOOKUP($C$6,$H$6:$AS$31,A17,FALSE)</f>
        <v>2427.5366890469759</v>
      </c>
      <c r="D17" s="76">
        <f>+HLOOKUP($D$6,$H$6:$BK$29,A17,FALSE)</f>
        <v>3250.2045634470987</v>
      </c>
      <c r="E17" s="61">
        <f>D17/C17-1</f>
        <v>0.33888998593182662</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 t="shared" ref="AE17:AO17" si="9">+AE19+AE20+AE24</f>
        <v>2589.5097437221884</v>
      </c>
      <c r="AF17" s="24">
        <f t="shared" si="9"/>
        <v>2668.8125995100431</v>
      </c>
      <c r="AG17" s="24">
        <f t="shared" si="9"/>
        <v>2984.4361867917678</v>
      </c>
      <c r="AH17" s="24">
        <f t="shared" si="9"/>
        <v>3113.9792090261044</v>
      </c>
      <c r="AI17" s="24">
        <f t="shared" si="9"/>
        <v>3546.1705021388707</v>
      </c>
      <c r="AJ17" s="24">
        <f t="shared" si="9"/>
        <v>2458.4844822617697</v>
      </c>
      <c r="AK17" s="24">
        <f t="shared" si="9"/>
        <v>2427.5366890469759</v>
      </c>
      <c r="AL17" s="24">
        <f t="shared" si="9"/>
        <v>3178.2279143636388</v>
      </c>
      <c r="AM17" s="24">
        <f t="shared" si="9"/>
        <v>2848.5002574529099</v>
      </c>
      <c r="AN17" s="24">
        <f t="shared" si="9"/>
        <v>2527.9450362503558</v>
      </c>
      <c r="AO17" s="24">
        <f t="shared" si="9"/>
        <v>3250.2045634470987</v>
      </c>
      <c r="AU17" s="26"/>
      <c r="AV17" s="26"/>
      <c r="AW17" s="26"/>
      <c r="AX17" s="26"/>
      <c r="AY17" s="26"/>
      <c r="AZ17" s="95"/>
    </row>
    <row r="18" spans="1:52" ht="5.25" customHeight="1" x14ac:dyDescent="0.3">
      <c r="A18" s="1">
        <f t="shared" si="0"/>
        <v>13</v>
      </c>
      <c r="C18" s="59"/>
      <c r="E18" s="59"/>
    </row>
    <row r="19" spans="1:52" x14ac:dyDescent="0.3">
      <c r="A19" s="1">
        <f t="shared" si="0"/>
        <v>14</v>
      </c>
      <c r="B19" s="28" t="s">
        <v>35</v>
      </c>
      <c r="C19" s="65">
        <f t="shared" ref="C19:C29" si="10">+HLOOKUP($C$6,$H$6:$AS$31,A19,FALSE)</f>
        <v>887.18420000000015</v>
      </c>
      <c r="D19" s="78">
        <f t="shared" ref="D19:D29" si="11">+HLOOKUP($D$6,$H$6:$BK$29,A19,FALSE)</f>
        <v>804.20896999999991</v>
      </c>
      <c r="E19" s="67">
        <f>+D19/C19-1</f>
        <v>-9.3526496526877057E-2</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c r="AK19" s="29">
        <v>887.18420000000015</v>
      </c>
      <c r="AL19" s="29">
        <v>1155.0339199999999</v>
      </c>
      <c r="AM19" s="29">
        <v>899.10449999999992</v>
      </c>
      <c r="AN19" s="29">
        <v>963.90317000000005</v>
      </c>
      <c r="AO19" s="29">
        <v>804.20896999999991</v>
      </c>
      <c r="AQ19" s="26"/>
    </row>
    <row r="20" spans="1:52" x14ac:dyDescent="0.3">
      <c r="A20" s="1">
        <f t="shared" si="0"/>
        <v>15</v>
      </c>
      <c r="B20" s="28" t="s">
        <v>36</v>
      </c>
      <c r="C20" s="65">
        <f t="shared" si="10"/>
        <v>1512.6569999999999</v>
      </c>
      <c r="D20" s="78">
        <f t="shared" si="11"/>
        <v>2194.5060000000003</v>
      </c>
      <c r="E20" s="67">
        <f>+D20/C20-1</f>
        <v>0.45076246630928263</v>
      </c>
      <c r="H20" s="28" t="s">
        <v>36</v>
      </c>
      <c r="I20" s="29">
        <f>SUM(I21:I23)</f>
        <v>2159.134</v>
      </c>
      <c r="J20" s="29">
        <f t="shared" ref="J20:Y20" si="12">SUM(J21:J23)</f>
        <v>1878.0659999999998</v>
      </c>
      <c r="K20" s="29">
        <f t="shared" si="12"/>
        <v>1424</v>
      </c>
      <c r="L20" s="29">
        <f t="shared" si="12"/>
        <v>719.053</v>
      </c>
      <c r="M20" s="29">
        <f t="shared" si="12"/>
        <v>2079.7550000000001</v>
      </c>
      <c r="N20" s="29">
        <f t="shared" si="12"/>
        <v>2003.309</v>
      </c>
      <c r="O20" s="29">
        <f t="shared" si="12"/>
        <v>1519.4349999999999</v>
      </c>
      <c r="P20" s="29">
        <f t="shared" si="12"/>
        <v>467.988</v>
      </c>
      <c r="Q20" s="29">
        <f t="shared" si="12"/>
        <v>1915.18</v>
      </c>
      <c r="R20" s="29">
        <f t="shared" si="12"/>
        <v>1956.502</v>
      </c>
      <c r="S20" s="29">
        <f t="shared" si="12"/>
        <v>1396</v>
      </c>
      <c r="T20" s="29">
        <f t="shared" si="12"/>
        <v>1146.3820000000001</v>
      </c>
      <c r="U20" s="29">
        <f t="shared" si="12"/>
        <v>2080.1379999999999</v>
      </c>
      <c r="V20" s="29">
        <f t="shared" si="12"/>
        <v>2109.0740000000001</v>
      </c>
      <c r="W20" s="29">
        <f t="shared" si="12"/>
        <v>1625.5</v>
      </c>
      <c r="X20" s="29">
        <f t="shared" si="12"/>
        <v>887.74</v>
      </c>
      <c r="Y20" s="29">
        <f t="shared" si="12"/>
        <v>2019.9259999999999</v>
      </c>
      <c r="Z20" s="29">
        <f t="shared" ref="Z20:AE20" si="13">SUM(Z21:Z23)</f>
        <v>2052.0571999999997</v>
      </c>
      <c r="AA20" s="29">
        <f t="shared" si="13"/>
        <v>1640.9929999999999</v>
      </c>
      <c r="AB20" s="29">
        <f t="shared" si="13"/>
        <v>844.64</v>
      </c>
      <c r="AC20" s="29">
        <f t="shared" si="13"/>
        <v>2113.667219685</v>
      </c>
      <c r="AD20" s="29">
        <f t="shared" si="13"/>
        <v>1902.7019399999999</v>
      </c>
      <c r="AE20" s="29">
        <f t="shared" si="13"/>
        <v>1164.2910000000002</v>
      </c>
      <c r="AF20" s="29">
        <f t="shared" ref="AF20:AL20" si="14">SUM(AF21:AF23)</f>
        <v>1327.2567999999999</v>
      </c>
      <c r="AG20" s="29">
        <f t="shared" si="14"/>
        <v>1838.4737999999998</v>
      </c>
      <c r="AH20" s="29">
        <f t="shared" si="14"/>
        <v>2108.0429999999997</v>
      </c>
      <c r="AI20" s="29">
        <f t="shared" si="14"/>
        <v>1977.8985600000001</v>
      </c>
      <c r="AJ20" s="29">
        <f t="shared" si="14"/>
        <v>450.48900000000003</v>
      </c>
      <c r="AK20" s="29">
        <f t="shared" si="14"/>
        <v>1512.6569999999999</v>
      </c>
      <c r="AL20" s="29">
        <f t="shared" si="14"/>
        <v>1997.664</v>
      </c>
      <c r="AM20" s="29">
        <f>SUM(AM21:AM23)</f>
        <v>1861.0379999999996</v>
      </c>
      <c r="AN20" s="29">
        <f>SUM(AN21:AN23)</f>
        <v>1409.5749999999998</v>
      </c>
      <c r="AO20" s="29">
        <f t="shared" ref="AO20" si="15">SUM(AO21:AO23)</f>
        <v>2194.5060000000003</v>
      </c>
    </row>
    <row r="21" spans="1:52" x14ac:dyDescent="0.3">
      <c r="A21" s="1">
        <f t="shared" si="0"/>
        <v>16</v>
      </c>
      <c r="B21" s="5" t="s">
        <v>37</v>
      </c>
      <c r="C21" s="62">
        <f t="shared" si="10"/>
        <v>722.05399999999997</v>
      </c>
      <c r="D21" s="77">
        <f t="shared" si="11"/>
        <v>1526.4650000000001</v>
      </c>
      <c r="E21" s="63">
        <f>+D21/C21-1</f>
        <v>1.1140593362823283</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c r="AK21" s="25">
        <v>722.05399999999997</v>
      </c>
      <c r="AL21" s="25">
        <v>1206.932</v>
      </c>
      <c r="AM21" s="25">
        <v>1039.9879999999998</v>
      </c>
      <c r="AN21" s="25">
        <v>997.404</v>
      </c>
      <c r="AO21" s="25">
        <v>1526.4650000000001</v>
      </c>
      <c r="AQ21" s="26"/>
    </row>
    <row r="22" spans="1:52" x14ac:dyDescent="0.3">
      <c r="A22" s="1">
        <f t="shared" si="0"/>
        <v>17</v>
      </c>
      <c r="B22" s="5" t="s">
        <v>38</v>
      </c>
      <c r="C22" s="62">
        <f t="shared" si="10"/>
        <v>118.843</v>
      </c>
      <c r="D22" s="77">
        <f t="shared" si="11"/>
        <v>29.93</v>
      </c>
      <c r="E22" s="63">
        <f t="shared" ref="E22:E27" si="16">+D22/C22-1</f>
        <v>-0.74815512903578674</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c r="AK22" s="25">
        <v>118.843</v>
      </c>
      <c r="AL22" s="25">
        <v>45.290000000000006</v>
      </c>
      <c r="AM22" s="25">
        <v>101.78299999999999</v>
      </c>
      <c r="AN22" s="25">
        <v>28.376999999999999</v>
      </c>
      <c r="AO22" s="25">
        <v>29.93</v>
      </c>
      <c r="AQ22" s="26"/>
    </row>
    <row r="23" spans="1:52" x14ac:dyDescent="0.3">
      <c r="A23" s="1">
        <f t="shared" si="0"/>
        <v>18</v>
      </c>
      <c r="B23" s="5" t="s">
        <v>39</v>
      </c>
      <c r="C23" s="62">
        <f t="shared" si="10"/>
        <v>671.76</v>
      </c>
      <c r="D23" s="77">
        <f t="shared" si="11"/>
        <v>638.1110000000001</v>
      </c>
      <c r="E23" s="63">
        <f t="shared" si="16"/>
        <v>-5.0090806240323804E-2</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c r="AK23" s="25">
        <v>671.76</v>
      </c>
      <c r="AL23" s="25">
        <v>745.44200000000001</v>
      </c>
      <c r="AM23" s="25">
        <v>719.26699999999994</v>
      </c>
      <c r="AN23" s="25">
        <v>383.79399999999998</v>
      </c>
      <c r="AO23" s="25">
        <v>638.1110000000001</v>
      </c>
      <c r="AQ23" s="26"/>
    </row>
    <row r="24" spans="1:52" x14ac:dyDescent="0.3">
      <c r="A24" s="1">
        <f t="shared" si="0"/>
        <v>19</v>
      </c>
      <c r="B24" s="28" t="s">
        <v>143</v>
      </c>
      <c r="C24" s="65">
        <f t="shared" si="10"/>
        <v>27.695489046976014</v>
      </c>
      <c r="D24" s="78">
        <f t="shared" si="11"/>
        <v>251.48959344709863</v>
      </c>
      <c r="E24" s="67" t="s">
        <v>43</v>
      </c>
      <c r="H24" s="28" t="s">
        <v>142</v>
      </c>
      <c r="I24" s="31">
        <f>SUM(I25:I26)</f>
        <v>0</v>
      </c>
      <c r="J24" s="31">
        <f t="shared" ref="J24:Y24" si="17">SUM(J25:J26)</f>
        <v>0</v>
      </c>
      <c r="K24" s="31">
        <f t="shared" si="17"/>
        <v>0</v>
      </c>
      <c r="L24" s="29">
        <f t="shared" si="17"/>
        <v>27</v>
      </c>
      <c r="M24" s="29">
        <f t="shared" si="17"/>
        <v>17.866000000000003</v>
      </c>
      <c r="N24" s="29">
        <f t="shared" si="17"/>
        <v>27.525100000000002</v>
      </c>
      <c r="O24" s="29">
        <f t="shared" si="17"/>
        <v>27.0913</v>
      </c>
      <c r="P24" s="29">
        <f t="shared" si="17"/>
        <v>38.855344280000011</v>
      </c>
      <c r="Q24" s="29">
        <f t="shared" si="17"/>
        <v>18.837700000000002</v>
      </c>
      <c r="R24" s="29">
        <f t="shared" si="17"/>
        <v>18.474769999999999</v>
      </c>
      <c r="S24" s="29">
        <f t="shared" si="17"/>
        <v>28</v>
      </c>
      <c r="T24" s="29">
        <f t="shared" si="17"/>
        <v>29.851632112000004</v>
      </c>
      <c r="U24" s="29">
        <f t="shared" si="17"/>
        <v>21.848003753000004</v>
      </c>
      <c r="V24" s="29">
        <f t="shared" si="17"/>
        <v>29.300611658000001</v>
      </c>
      <c r="W24" s="29">
        <f t="shared" si="17"/>
        <v>29.4</v>
      </c>
      <c r="X24" s="29">
        <f t="shared" si="17"/>
        <v>35.836244550000004</v>
      </c>
      <c r="Y24" s="29">
        <f t="shared" si="17"/>
        <v>26.215077972368299</v>
      </c>
      <c r="Z24" s="29">
        <f t="shared" ref="Z24" si="18">SUM(Z25:Z26)</f>
        <v>29.41226087674421</v>
      </c>
      <c r="AA24" s="29">
        <f t="shared" ref="AA24:AJ24" si="19">SUM(AA25:AA26)</f>
        <v>36.519630291729221</v>
      </c>
      <c r="AB24" s="29">
        <f t="shared" si="19"/>
        <v>43.706121845772216</v>
      </c>
      <c r="AC24" s="29">
        <f t="shared" si="19"/>
        <v>26.576624748011</v>
      </c>
      <c r="AD24" s="29">
        <f t="shared" si="19"/>
        <v>60.150467104336997</v>
      </c>
      <c r="AE24" s="29">
        <f t="shared" si="19"/>
        <v>108.44471372218833</v>
      </c>
      <c r="AF24" s="29">
        <f t="shared" si="19"/>
        <v>105.50269951004388</v>
      </c>
      <c r="AG24" s="29">
        <f t="shared" si="19"/>
        <v>26.318386791767686</v>
      </c>
      <c r="AH24" s="29">
        <f t="shared" si="19"/>
        <v>24.394579026104999</v>
      </c>
      <c r="AI24" s="29">
        <f t="shared" si="19"/>
        <v>38.531512138870092</v>
      </c>
      <c r="AJ24" s="29">
        <f t="shared" si="19"/>
        <v>42.633872261769937</v>
      </c>
      <c r="AK24" s="29">
        <f>SUM(AK25:AK26)</f>
        <v>27.695489046976014</v>
      </c>
      <c r="AL24" s="29">
        <f>SUM(AL25:AL26)</f>
        <v>25.529994363639318</v>
      </c>
      <c r="AM24" s="29">
        <f>SUM(AM25:AM26)</f>
        <v>88.357757452910207</v>
      </c>
      <c r="AN24" s="29">
        <f>+SUM(AN25:AN26)</f>
        <v>154.46686625035608</v>
      </c>
      <c r="AO24" s="29">
        <f>SUM(AO25:AO26)</f>
        <v>251.48959344709863</v>
      </c>
      <c r="AQ24" s="26"/>
    </row>
    <row r="25" spans="1:52" x14ac:dyDescent="0.3">
      <c r="A25" s="1">
        <f t="shared" si="0"/>
        <v>20</v>
      </c>
      <c r="B25" s="5" t="s">
        <v>40</v>
      </c>
      <c r="C25" s="25">
        <f t="shared" si="10"/>
        <v>21.419570000000014</v>
      </c>
      <c r="D25" s="77">
        <f t="shared" si="11"/>
        <v>33.298859999999976</v>
      </c>
      <c r="E25" s="63">
        <f t="shared" si="16"/>
        <v>0.55459983557092674</v>
      </c>
      <c r="H25" s="5" t="s">
        <v>141</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30">
        <v>19.689539782499988</v>
      </c>
      <c r="AH25" s="25">
        <v>21.309542624999999</v>
      </c>
      <c r="AI25" s="25">
        <v>34.433420699999992</v>
      </c>
      <c r="AJ25" s="25">
        <v>35.235859575000035</v>
      </c>
      <c r="AK25" s="30">
        <v>21.419570000000014</v>
      </c>
      <c r="AL25" s="30">
        <v>22.435517000000015</v>
      </c>
      <c r="AM25" s="30">
        <v>62.260457452910202</v>
      </c>
      <c r="AN25" s="30">
        <v>29.48584000000001</v>
      </c>
      <c r="AO25" s="30">
        <v>33.298859999999976</v>
      </c>
    </row>
    <row r="26" spans="1:52" x14ac:dyDescent="0.3">
      <c r="A26" s="1">
        <f t="shared" si="0"/>
        <v>21</v>
      </c>
      <c r="B26" s="5" t="s">
        <v>41</v>
      </c>
      <c r="C26" s="25">
        <f t="shared" si="10"/>
        <v>6.2759190469760009</v>
      </c>
      <c r="D26" s="77">
        <f t="shared" si="11"/>
        <v>218.19073344709864</v>
      </c>
      <c r="E26" s="63" t="s">
        <v>43</v>
      </c>
      <c r="H26" s="5" t="s">
        <v>41</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c r="AK26" s="30">
        <v>6.2759190469760009</v>
      </c>
      <c r="AL26" s="30">
        <v>3.0944773636393013</v>
      </c>
      <c r="AM26" s="30">
        <v>26.097300000000004</v>
      </c>
      <c r="AN26" s="30">
        <v>124.98102625035605</v>
      </c>
      <c r="AO26" s="30">
        <v>218.19073344709864</v>
      </c>
    </row>
    <row r="27" spans="1:52" x14ac:dyDescent="0.3">
      <c r="A27" s="1">
        <f t="shared" si="0"/>
        <v>22</v>
      </c>
      <c r="B27" s="28" t="s">
        <v>42</v>
      </c>
      <c r="C27" s="58">
        <f t="shared" si="10"/>
        <v>180.38096507499472</v>
      </c>
      <c r="D27" s="78">
        <f t="shared" si="11"/>
        <v>0</v>
      </c>
      <c r="E27" s="84" t="s">
        <v>43</v>
      </c>
      <c r="H27" s="28" t="s">
        <v>42</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c r="AK27" s="31">
        <v>180.38096507499472</v>
      </c>
      <c r="AL27" s="31">
        <v>0</v>
      </c>
      <c r="AM27" s="31">
        <v>0</v>
      </c>
      <c r="AN27" s="31">
        <v>105.3</v>
      </c>
      <c r="AO27" s="31">
        <v>0</v>
      </c>
    </row>
    <row r="28" spans="1:52" ht="5.25" customHeight="1" x14ac:dyDescent="0.3">
      <c r="A28" s="1">
        <f t="shared" si="0"/>
        <v>23</v>
      </c>
      <c r="C28" s="66">
        <f t="shared" si="10"/>
        <v>0</v>
      </c>
      <c r="E28" s="59"/>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row>
    <row r="29" spans="1:52" x14ac:dyDescent="0.3">
      <c r="A29" s="1">
        <f t="shared" si="0"/>
        <v>24</v>
      </c>
      <c r="B29" s="20" t="s">
        <v>44</v>
      </c>
      <c r="C29" s="68">
        <f t="shared" si="10"/>
        <v>-93.084104091865811</v>
      </c>
      <c r="D29" s="79">
        <f t="shared" si="11"/>
        <v>237.54137668726958</v>
      </c>
      <c r="E29" s="69" t="s">
        <v>43</v>
      </c>
      <c r="H29" s="20" t="s">
        <v>44</v>
      </c>
      <c r="I29" s="27">
        <f>I13-I27</f>
        <v>218.96751644732302</v>
      </c>
      <c r="J29" s="27">
        <f t="shared" ref="J29:W29" si="20">J13-J27</f>
        <v>424.53248355267698</v>
      </c>
      <c r="K29" s="27">
        <f t="shared" si="20"/>
        <v>123.2</v>
      </c>
      <c r="L29" s="27">
        <f t="shared" si="20"/>
        <v>-119.8</v>
      </c>
      <c r="M29" s="27">
        <f t="shared" si="20"/>
        <v>327</v>
      </c>
      <c r="N29" s="27">
        <f t="shared" si="20"/>
        <v>484</v>
      </c>
      <c r="O29" s="27">
        <f t="shared" si="20"/>
        <v>455.71628899999996</v>
      </c>
      <c r="P29" s="27">
        <f t="shared" si="20"/>
        <v>53.761164545645784</v>
      </c>
      <c r="Q29" s="27">
        <f t="shared" si="20"/>
        <v>402.79276660438609</v>
      </c>
      <c r="R29" s="27">
        <f t="shared" si="20"/>
        <v>512.70931975909969</v>
      </c>
      <c r="S29" s="27">
        <f t="shared" si="20"/>
        <v>-433</v>
      </c>
      <c r="T29" s="27">
        <f t="shared" si="20"/>
        <v>-490</v>
      </c>
      <c r="U29" s="27">
        <f>U13-U27</f>
        <v>355.57419945754248</v>
      </c>
      <c r="V29" s="27">
        <f t="shared" si="20"/>
        <v>476.44857716393153</v>
      </c>
      <c r="W29" s="27">
        <f t="shared" si="20"/>
        <v>163.68519530717492</v>
      </c>
      <c r="X29" s="27">
        <f t="shared" ref="X29:Y29" si="21">X13-X27</f>
        <v>345.10789999999997</v>
      </c>
      <c r="Y29" s="27">
        <f t="shared" si="21"/>
        <v>524.51625259600632</v>
      </c>
      <c r="Z29" s="27">
        <f>Z13-Z27</f>
        <v>517.42100000000005</v>
      </c>
      <c r="AA29" s="27">
        <f>AA13-AA27</f>
        <v>49.138423481814684</v>
      </c>
      <c r="AB29" s="27">
        <f t="shared" ref="AB29:AE29" si="22">AB13-AB27</f>
        <v>127.18293860450689</v>
      </c>
      <c r="AC29" s="27">
        <f t="shared" si="22"/>
        <v>679.59258450063749</v>
      </c>
      <c r="AD29" s="27">
        <f t="shared" si="22"/>
        <v>565.63741879474242</v>
      </c>
      <c r="AE29" s="27">
        <f t="shared" si="22"/>
        <v>-338</v>
      </c>
      <c r="AF29" s="27">
        <f t="shared" ref="AF29:AL29" si="23">AF13-AF27</f>
        <v>-102.91959303165353</v>
      </c>
      <c r="AG29" s="27">
        <f t="shared" si="23"/>
        <v>399.97817196043991</v>
      </c>
      <c r="AH29" s="27">
        <f t="shared" si="23"/>
        <v>500.52412506537814</v>
      </c>
      <c r="AI29" s="27">
        <f t="shared" si="23"/>
        <v>789.41849508749317</v>
      </c>
      <c r="AJ29" s="27">
        <f t="shared" si="23"/>
        <v>-234.52825661752502</v>
      </c>
      <c r="AK29" s="27">
        <f t="shared" si="23"/>
        <v>-93.084104091865811</v>
      </c>
      <c r="AL29" s="27">
        <f t="shared" si="23"/>
        <v>621.59086649847029</v>
      </c>
      <c r="AM29" s="27">
        <f>AM13-AM27</f>
        <v>253.63679747067806</v>
      </c>
      <c r="AN29" s="27">
        <f>AN13-AN27</f>
        <v>74.494145812848004</v>
      </c>
      <c r="AO29" s="27">
        <f t="shared" ref="AO29" si="24">AO13-AO27</f>
        <v>237.54137668726958</v>
      </c>
    </row>
    <row r="30" spans="1:52" x14ac:dyDescent="0.3">
      <c r="C30" s="59"/>
      <c r="E30" s="59"/>
    </row>
    <row r="34" spans="1:42" ht="23.25" x14ac:dyDescent="0.35">
      <c r="B34" s="12" t="s">
        <v>45</v>
      </c>
      <c r="C34" s="13"/>
      <c r="D34" s="74"/>
      <c r="E34" s="13"/>
      <c r="H34" s="12" t="s">
        <v>45</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row>
    <row r="36" spans="1:42" x14ac:dyDescent="0.3">
      <c r="A36" s="1">
        <v>1</v>
      </c>
      <c r="B36" s="3" t="s">
        <v>1</v>
      </c>
      <c r="C36" s="102" t="s">
        <v>138</v>
      </c>
      <c r="D36" s="103" t="s">
        <v>148</v>
      </c>
      <c r="E36" s="102" t="s">
        <v>4</v>
      </c>
      <c r="H36" s="3" t="s">
        <v>5</v>
      </c>
      <c r="I36" s="102" t="s">
        <v>6</v>
      </c>
      <c r="J36" s="102" t="s">
        <v>7</v>
      </c>
      <c r="K36" s="102" t="s">
        <v>8</v>
      </c>
      <c r="L36" s="102" t="s">
        <v>9</v>
      </c>
      <c r="M36" s="102" t="s">
        <v>10</v>
      </c>
      <c r="N36" s="102" t="s">
        <v>11</v>
      </c>
      <c r="O36" s="102" t="s">
        <v>12</v>
      </c>
      <c r="P36" s="102" t="s">
        <v>13</v>
      </c>
      <c r="Q36" s="102" t="s">
        <v>14</v>
      </c>
      <c r="R36" s="102" t="s">
        <v>15</v>
      </c>
      <c r="S36" s="102" t="s">
        <v>16</v>
      </c>
      <c r="T36" s="102" t="s">
        <v>17</v>
      </c>
      <c r="U36" s="102" t="s">
        <v>18</v>
      </c>
      <c r="V36" s="102" t="s">
        <v>19</v>
      </c>
      <c r="W36" s="102" t="s">
        <v>20</v>
      </c>
      <c r="X36" s="102" t="s">
        <v>21</v>
      </c>
      <c r="Y36" s="102" t="s">
        <v>22</v>
      </c>
      <c r="Z36" s="102" t="s">
        <v>23</v>
      </c>
      <c r="AA36" s="102" t="s">
        <v>24</v>
      </c>
      <c r="AB36" s="102" t="s">
        <v>2</v>
      </c>
      <c r="AC36" s="102" t="s">
        <v>25</v>
      </c>
      <c r="AD36" s="102" t="s">
        <v>26</v>
      </c>
      <c r="AE36" s="102" t="s">
        <v>27</v>
      </c>
      <c r="AF36" s="102" t="s">
        <v>3</v>
      </c>
      <c r="AG36" s="102" t="s">
        <v>124</v>
      </c>
      <c r="AH36" s="102" t="s">
        <v>126</v>
      </c>
      <c r="AI36" s="102" t="s">
        <v>135</v>
      </c>
      <c r="AJ36" s="102" t="s">
        <v>136</v>
      </c>
      <c r="AK36" s="102" t="s">
        <v>138</v>
      </c>
      <c r="AL36" s="102" t="s">
        <v>139</v>
      </c>
      <c r="AM36" s="102" t="s">
        <v>140</v>
      </c>
      <c r="AN36" s="102" t="s">
        <v>144</v>
      </c>
      <c r="AO36" s="102" t="s">
        <v>148</v>
      </c>
    </row>
    <row r="37" spans="1:42" x14ac:dyDescent="0.3">
      <c r="A37" s="1">
        <v>2</v>
      </c>
      <c r="B37" s="3" t="s">
        <v>28</v>
      </c>
      <c r="C37" s="102"/>
      <c r="D37" s="103"/>
      <c r="E37" s="102"/>
      <c r="H37" s="3" t="s">
        <v>28</v>
      </c>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row>
    <row r="38" spans="1:42" x14ac:dyDescent="0.3">
      <c r="A38" s="1">
        <v>3</v>
      </c>
    </row>
    <row r="39" spans="1:42" x14ac:dyDescent="0.3">
      <c r="A39" s="1">
        <v>4</v>
      </c>
      <c r="B39" s="6" t="s">
        <v>29</v>
      </c>
      <c r="C39" s="24">
        <f>+HLOOKUP($C$36,$H$36:$AS$51,A39,FALSE)</f>
        <v>560.96413158793575</v>
      </c>
      <c r="D39" s="76">
        <f>+HLOOKUP($D$36,H36:AS51,A39,FALSE)</f>
        <v>1001.9415212568607</v>
      </c>
      <c r="E39" s="61">
        <f>D39/C39-1</f>
        <v>0.78610621399382308</v>
      </c>
      <c r="H39" s="6" t="s">
        <v>29</v>
      </c>
      <c r="I39" s="32"/>
      <c r="J39" s="32"/>
      <c r="K39" s="32"/>
      <c r="L39" s="32"/>
      <c r="M39" s="32"/>
      <c r="N39" s="32"/>
      <c r="O39" s="32"/>
      <c r="P39" s="32"/>
      <c r="Q39" s="24">
        <f>Q41+Q42</f>
        <v>896.15477393720892</v>
      </c>
      <c r="R39" s="24">
        <f t="shared" ref="R39:W39" si="25">R41+R42</f>
        <v>966.33258163299797</v>
      </c>
      <c r="S39" s="24">
        <f t="shared" si="25"/>
        <v>931.47193074071765</v>
      </c>
      <c r="T39" s="24">
        <f t="shared" si="25"/>
        <v>1184.7649773808278</v>
      </c>
      <c r="U39" s="24">
        <f t="shared" si="25"/>
        <v>788.82634795288288</v>
      </c>
      <c r="V39" s="24">
        <f t="shared" si="25"/>
        <v>1049</v>
      </c>
      <c r="W39" s="24">
        <f t="shared" si="25"/>
        <v>1163.3114928183011</v>
      </c>
      <c r="X39" s="24">
        <f t="shared" ref="X39:Y39" si="26">X41+X42</f>
        <v>1110.2813305312957</v>
      </c>
      <c r="Y39" s="24">
        <f t="shared" si="26"/>
        <v>809.94496876190215</v>
      </c>
      <c r="Z39" s="24">
        <f t="shared" ref="Z39:AE39" si="27">Z41+Z42</f>
        <v>978.76345776423216</v>
      </c>
      <c r="AA39" s="24">
        <f t="shared" si="27"/>
        <v>1096.5211357750077</v>
      </c>
      <c r="AB39" s="24">
        <f t="shared" si="27"/>
        <v>1159.7479302785923</v>
      </c>
      <c r="AC39" s="24">
        <f t="shared" si="27"/>
        <v>941.93401631200777</v>
      </c>
      <c r="AD39" s="24">
        <f t="shared" si="27"/>
        <v>983.01939262984422</v>
      </c>
      <c r="AE39" s="24">
        <f t="shared" si="27"/>
        <v>1160.60459709322</v>
      </c>
      <c r="AF39" s="24">
        <f t="shared" ref="AF39:AO39" si="28">AF41+AF42</f>
        <v>825.0815780808764</v>
      </c>
      <c r="AG39" s="24">
        <f t="shared" si="28"/>
        <v>515.44411977188861</v>
      </c>
      <c r="AH39" s="24">
        <f t="shared" si="28"/>
        <v>626.65296885991324</v>
      </c>
      <c r="AI39" s="24">
        <f t="shared" si="28"/>
        <v>1018.899188234898</v>
      </c>
      <c r="AJ39" s="24">
        <f t="shared" si="28"/>
        <v>965.98011462914837</v>
      </c>
      <c r="AK39" s="24">
        <f t="shared" si="28"/>
        <v>560.96413158793575</v>
      </c>
      <c r="AL39" s="24">
        <f t="shared" si="28"/>
        <v>877.86212596818189</v>
      </c>
      <c r="AM39" s="24">
        <f t="shared" si="28"/>
        <v>1183.6065573044966</v>
      </c>
      <c r="AN39" s="24">
        <f t="shared" si="28"/>
        <v>906.64523534285752</v>
      </c>
      <c r="AO39" s="24">
        <f t="shared" si="28"/>
        <v>1001.9415212568607</v>
      </c>
    </row>
    <row r="40" spans="1:42" ht="6" customHeight="1" x14ac:dyDescent="0.3">
      <c r="A40" s="1">
        <v>5</v>
      </c>
      <c r="E40" s="59"/>
      <c r="I40" s="33"/>
      <c r="J40" s="33"/>
      <c r="K40" s="33"/>
      <c r="L40" s="33"/>
      <c r="M40" s="33"/>
      <c r="N40" s="33"/>
      <c r="O40" s="33"/>
      <c r="P40" s="33"/>
    </row>
    <row r="41" spans="1:42" x14ac:dyDescent="0.3">
      <c r="A41" s="1">
        <v>6</v>
      </c>
      <c r="B41" s="5" t="s">
        <v>46</v>
      </c>
      <c r="C41" s="25">
        <f>+HLOOKUP($C$36,$H$36:$AS$51,A41,FALSE)</f>
        <v>509.42713583293488</v>
      </c>
      <c r="D41" s="77">
        <f>+HLOOKUP($D$36,$H$36:$BJ$51,A41,FALSE)</f>
        <v>617.02986788140606</v>
      </c>
      <c r="E41" s="63">
        <f>+D41/C41-1</f>
        <v>0.21122300811976991</v>
      </c>
      <c r="F41" s="55"/>
      <c r="H41" s="5" t="s">
        <v>46</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515.44411977188861</v>
      </c>
      <c r="AH41" s="25">
        <v>412.61388027848921</v>
      </c>
      <c r="AI41" s="25">
        <v>466.68086721477931</v>
      </c>
      <c r="AJ41" s="25">
        <v>489.79016563977711</v>
      </c>
      <c r="AK41" s="25">
        <v>509.42713583293488</v>
      </c>
      <c r="AL41" s="25">
        <v>503.87157825194322</v>
      </c>
      <c r="AM41" s="25">
        <v>506.87877990606654</v>
      </c>
      <c r="AN41" s="25">
        <v>525.56750682169206</v>
      </c>
      <c r="AO41" s="25">
        <v>617.02986788140606</v>
      </c>
      <c r="AP41" s="26"/>
    </row>
    <row r="42" spans="1:42" x14ac:dyDescent="0.3">
      <c r="A42" s="1">
        <v>7</v>
      </c>
      <c r="B42" s="5" t="s">
        <v>32</v>
      </c>
      <c r="C42" s="25">
        <f>+HLOOKUP($C$36,$H$36:$AS$51,A42,FALSE)</f>
        <v>51.536995755000873</v>
      </c>
      <c r="D42" s="77">
        <f>+HLOOKUP($D$36,$H$36:$BJ$51,A42,FALSE)</f>
        <v>384.91165337545465</v>
      </c>
      <c r="E42" s="63" t="s">
        <v>43</v>
      </c>
      <c r="H42" s="5" t="s">
        <v>32</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214.03908858142407</v>
      </c>
      <c r="AI42" s="25">
        <v>552.21832102011876</v>
      </c>
      <c r="AJ42" s="25">
        <v>476.18994898937126</v>
      </c>
      <c r="AK42" s="25">
        <v>51.536995755000873</v>
      </c>
      <c r="AL42" s="25">
        <v>373.99054771623867</v>
      </c>
      <c r="AM42" s="25">
        <v>676.72777739843013</v>
      </c>
      <c r="AN42" s="25">
        <v>381.07772852116545</v>
      </c>
      <c r="AO42" s="25">
        <v>384.91165337545465</v>
      </c>
    </row>
    <row r="43" spans="1:42" ht="6" customHeight="1" x14ac:dyDescent="0.3">
      <c r="A43" s="1">
        <v>8</v>
      </c>
      <c r="C43" s="26">
        <f>+HLOOKUP($C$36,$H$36:$AS$51,A43,FALSE)</f>
        <v>0</v>
      </c>
      <c r="E43" s="59"/>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row>
    <row r="44" spans="1:42" x14ac:dyDescent="0.3">
      <c r="A44" s="1">
        <v>9</v>
      </c>
      <c r="B44" s="5" t="s">
        <v>33</v>
      </c>
      <c r="C44" s="25">
        <f>+HLOOKUP($C$36,$H$36:$AS$51,A44,FALSE)</f>
        <v>560.43931524796665</v>
      </c>
      <c r="D44" s="77">
        <f>+HLOOKUP($D$36,$H$36:$BJ$51,A44,FALSE)</f>
        <v>567.77232808725637</v>
      </c>
      <c r="E44" s="63">
        <f t="shared" ref="E44" si="29">+D44/C44-1</f>
        <v>1.3084401182749339E-2</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c r="AK44" s="25">
        <v>560.43931524796665</v>
      </c>
      <c r="AL44" s="25">
        <v>563.2322290763849</v>
      </c>
      <c r="AM44" s="25">
        <v>564.61862806833153</v>
      </c>
      <c r="AN44" s="25">
        <v>566.05694539025978</v>
      </c>
      <c r="AO44" s="25">
        <v>567.77232808725637</v>
      </c>
    </row>
    <row r="45" spans="1:42" ht="12.75" customHeight="1" x14ac:dyDescent="0.3">
      <c r="A45" s="1">
        <v>10</v>
      </c>
      <c r="E45" s="59"/>
      <c r="I45" s="33"/>
      <c r="J45" s="33"/>
      <c r="K45" s="33"/>
      <c r="L45" s="33"/>
      <c r="M45" s="33"/>
      <c r="N45" s="33"/>
      <c r="O45" s="33"/>
      <c r="P45" s="33"/>
    </row>
    <row r="46" spans="1:42" x14ac:dyDescent="0.3">
      <c r="A46" s="1">
        <v>11</v>
      </c>
      <c r="B46" s="6" t="s">
        <v>34</v>
      </c>
      <c r="C46" s="24">
        <f>+HLOOKUP($C$36,$H$36:$AS$51,A46,FALSE)</f>
        <v>520.66747253658468</v>
      </c>
      <c r="D46" s="76">
        <f>+HLOOKUP($D$36,$H$36:$BJ$51,A46,FALSE)</f>
        <v>1027.2936049546111</v>
      </c>
      <c r="E46" s="61">
        <f>D46/C46-1</f>
        <v>0.9730320389515561</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O46" si="30">X48</f>
        <v>1135.4340123571928</v>
      </c>
      <c r="Y46" s="24">
        <f t="shared" si="30"/>
        <v>604.51495743320493</v>
      </c>
      <c r="Z46" s="24">
        <f t="shared" si="30"/>
        <v>1002.3766853551615</v>
      </c>
      <c r="AA46" s="24">
        <f t="shared" si="30"/>
        <v>1120.5979260393226</v>
      </c>
      <c r="AB46" s="24">
        <f t="shared" si="30"/>
        <v>1186.0360253896108</v>
      </c>
      <c r="AC46" s="24">
        <f t="shared" si="30"/>
        <v>931.62044726669956</v>
      </c>
      <c r="AD46" s="24">
        <f t="shared" si="30"/>
        <v>937.26247630600551</v>
      </c>
      <c r="AE46" s="24">
        <f t="shared" si="30"/>
        <v>1185.39815986183</v>
      </c>
      <c r="AF46" s="24">
        <f t="shared" si="30"/>
        <v>713.17974191683015</v>
      </c>
      <c r="AG46" s="24">
        <f t="shared" si="30"/>
        <v>343.09821429481127</v>
      </c>
      <c r="AH46" s="24">
        <f t="shared" si="30"/>
        <v>512.9721762170193</v>
      </c>
      <c r="AI46" s="24">
        <f t="shared" si="30"/>
        <v>1041.8325739005161</v>
      </c>
      <c r="AJ46" s="24">
        <f t="shared" si="30"/>
        <v>989.03271813771471</v>
      </c>
      <c r="AK46" s="24">
        <f t="shared" si="30"/>
        <v>520.66747253658468</v>
      </c>
      <c r="AL46" s="24">
        <f t="shared" si="30"/>
        <v>778.16852065162254</v>
      </c>
      <c r="AM46" s="24">
        <f t="shared" si="30"/>
        <v>1210.0593126671508</v>
      </c>
      <c r="AN46" s="24">
        <f t="shared" si="30"/>
        <v>930.07540105793123</v>
      </c>
      <c r="AO46" s="24">
        <f t="shared" si="30"/>
        <v>1027.2936049546111</v>
      </c>
    </row>
    <row r="47" spans="1:42" ht="6" customHeight="1" x14ac:dyDescent="0.3">
      <c r="A47" s="1">
        <v>12</v>
      </c>
      <c r="E47" s="59"/>
      <c r="I47" s="33"/>
      <c r="J47" s="33"/>
      <c r="K47" s="33"/>
      <c r="L47" s="33"/>
      <c r="M47" s="33"/>
      <c r="N47" s="33"/>
      <c r="O47" s="33"/>
      <c r="P47" s="33"/>
    </row>
    <row r="48" spans="1:42" x14ac:dyDescent="0.3">
      <c r="A48" s="1">
        <v>13</v>
      </c>
      <c r="B48" s="5" t="s">
        <v>47</v>
      </c>
      <c r="C48" s="25">
        <f>+HLOOKUP($C$36,$H$36:$AS$51,A48,FALSE)</f>
        <v>520.66747253658468</v>
      </c>
      <c r="D48" s="77">
        <f>+HLOOKUP($D$36,$H$36:$BJ$51,A48,FALSE)</f>
        <v>1027.2936049546111</v>
      </c>
      <c r="E48" s="63">
        <f t="shared" ref="E48" si="31">+D48/C48-1</f>
        <v>0.9730320389515561</v>
      </c>
      <c r="H48" s="5" t="s">
        <v>47</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c r="AK48" s="25">
        <v>520.66747253658468</v>
      </c>
      <c r="AL48" s="25">
        <v>778.16852065162254</v>
      </c>
      <c r="AM48" s="25">
        <v>1210.0593126671508</v>
      </c>
      <c r="AN48" s="25">
        <v>930.07540105793123</v>
      </c>
      <c r="AO48" s="25">
        <v>1027.2936049546111</v>
      </c>
      <c r="AP48" s="26"/>
    </row>
    <row r="49" spans="1:41" x14ac:dyDescent="0.3">
      <c r="A49" s="1">
        <v>14</v>
      </c>
      <c r="B49" s="5" t="s">
        <v>42</v>
      </c>
      <c r="C49" s="77">
        <f>+HLOOKUP($C$36,$H$36:$AS$51,A49,FALSE)</f>
        <v>57.645095655213254</v>
      </c>
      <c r="D49" s="77">
        <f>+HLOOKUP($D$36,$H$36:$BJ$51,A49,FALSE)</f>
        <v>0</v>
      </c>
      <c r="E49" s="63" t="s">
        <v>43</v>
      </c>
      <c r="H49" s="5" t="s">
        <v>42</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185.6060478259773</v>
      </c>
      <c r="AH49" s="30">
        <v>127.77895410268108</v>
      </c>
      <c r="AI49" s="30">
        <v>0</v>
      </c>
      <c r="AJ49" s="30">
        <v>0</v>
      </c>
      <c r="AK49" s="30">
        <v>57.645095655213254</v>
      </c>
      <c r="AL49" s="30">
        <v>120.04272042266</v>
      </c>
      <c r="AM49" s="30">
        <v>0</v>
      </c>
      <c r="AN49" s="30">
        <v>0</v>
      </c>
      <c r="AO49" s="77">
        <v>0</v>
      </c>
    </row>
    <row r="50" spans="1:41" ht="6" customHeight="1" x14ac:dyDescent="0.3">
      <c r="A50" s="1">
        <v>15</v>
      </c>
      <c r="C50" s="26">
        <f>+HLOOKUP($C$36,$H$36:$AS$51,A50,FALSE)</f>
        <v>0</v>
      </c>
      <c r="D50" s="75">
        <f>+HLOOKUP($D$36,$H$36:$BJ$51,A50,FALSE)</f>
        <v>0</v>
      </c>
      <c r="E50" s="59"/>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c r="AK50" s="26"/>
      <c r="AL50" s="26"/>
      <c r="AM50" s="26"/>
      <c r="AN50" s="26"/>
      <c r="AO50" s="26"/>
    </row>
    <row r="51" spans="1:41" x14ac:dyDescent="0.3">
      <c r="A51" s="1">
        <v>16</v>
      </c>
      <c r="B51" s="27" t="s">
        <v>44</v>
      </c>
      <c r="C51" s="27">
        <f>+HLOOKUP($C$36,$H$36:$AS$51,A51,FALSE)</f>
        <v>-6.1080999002123804</v>
      </c>
      <c r="D51" s="79">
        <f>+HLOOKUP($D$36,$H$36:$BJ$51,A51,FALSE)</f>
        <v>384.91165337545465</v>
      </c>
      <c r="E51" s="69" t="s">
        <v>43</v>
      </c>
      <c r="H51" s="20" t="s">
        <v>44</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O51" si="32">Z42-Z49</f>
        <v>173.63322159405053</v>
      </c>
      <c r="AA51" s="27">
        <f t="shared" si="32"/>
        <v>371.0847186405806</v>
      </c>
      <c r="AB51" s="27">
        <f t="shared" si="32"/>
        <v>442.96485769998151</v>
      </c>
      <c r="AC51" s="27">
        <f t="shared" si="32"/>
        <v>155.92275581512291</v>
      </c>
      <c r="AD51" s="27">
        <f t="shared" si="32"/>
        <v>208.98762901664603</v>
      </c>
      <c r="AE51" s="27">
        <f t="shared" si="32"/>
        <v>430.10112776056849</v>
      </c>
      <c r="AF51" s="27">
        <f t="shared" si="32"/>
        <v>-38.521099921727057</v>
      </c>
      <c r="AG51" s="27">
        <f t="shared" si="32"/>
        <v>-185.6060478259773</v>
      </c>
      <c r="AH51" s="27">
        <f t="shared" si="32"/>
        <v>86.260134478742984</v>
      </c>
      <c r="AI51" s="27">
        <f t="shared" si="32"/>
        <v>552.21832102011876</v>
      </c>
      <c r="AJ51" s="27">
        <f t="shared" si="32"/>
        <v>476.18994898937126</v>
      </c>
      <c r="AK51" s="27">
        <f t="shared" si="32"/>
        <v>-6.1080999002123804</v>
      </c>
      <c r="AL51" s="27">
        <f t="shared" si="32"/>
        <v>253.94782729357865</v>
      </c>
      <c r="AM51" s="27">
        <f t="shared" si="32"/>
        <v>676.72777739843013</v>
      </c>
      <c r="AN51" s="27">
        <f t="shared" si="32"/>
        <v>381.07772852116545</v>
      </c>
      <c r="AO51" s="27">
        <f t="shared" si="32"/>
        <v>384.91165337545465</v>
      </c>
    </row>
    <row r="53" spans="1:41" x14ac:dyDescent="0.3">
      <c r="B53" s="1" t="s">
        <v>145</v>
      </c>
    </row>
  </sheetData>
  <mergeCells count="72">
    <mergeCell ref="AO6:AO7"/>
    <mergeCell ref="AO36:AO37"/>
    <mergeCell ref="AA6:AA7"/>
    <mergeCell ref="AA36:AA37"/>
    <mergeCell ref="AB6:AB7"/>
    <mergeCell ref="AB36:AB37"/>
    <mergeCell ref="AE6:AE7"/>
    <mergeCell ref="AE36:AE37"/>
    <mergeCell ref="AD6:AD7"/>
    <mergeCell ref="AD36:AD37"/>
    <mergeCell ref="AC6:AC7"/>
    <mergeCell ref="AC36:AC37"/>
    <mergeCell ref="AM6:AM7"/>
    <mergeCell ref="AM36:AM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W6:W7"/>
    <mergeCell ref="X6:X7"/>
    <mergeCell ref="X36:X37"/>
    <mergeCell ref="W36:W37"/>
    <mergeCell ref="Z6:Z7"/>
    <mergeCell ref="Z36:Z37"/>
    <mergeCell ref="C36:C37"/>
    <mergeCell ref="D36:D37"/>
    <mergeCell ref="E36:E37"/>
    <mergeCell ref="I36:I37"/>
    <mergeCell ref="J36:J37"/>
    <mergeCell ref="C6:C7"/>
    <mergeCell ref="D6:D7"/>
    <mergeCell ref="E6:E7"/>
    <mergeCell ref="I6:I7"/>
    <mergeCell ref="J6:J7"/>
    <mergeCell ref="O36:O37"/>
    <mergeCell ref="P36:P37"/>
    <mergeCell ref="T6:T7"/>
    <mergeCell ref="L6:L7"/>
    <mergeCell ref="M6:M7"/>
    <mergeCell ref="N6:N7"/>
    <mergeCell ref="O6:O7"/>
    <mergeCell ref="K36:K37"/>
    <mergeCell ref="K6:K7"/>
    <mergeCell ref="L36:L37"/>
    <mergeCell ref="M36:M37"/>
    <mergeCell ref="N36:N37"/>
    <mergeCell ref="U36:U37"/>
    <mergeCell ref="AN6:AN7"/>
    <mergeCell ref="AN36:AN37"/>
    <mergeCell ref="P6:P7"/>
    <mergeCell ref="Q36:Q37"/>
    <mergeCell ref="R36:R37"/>
    <mergeCell ref="S36:S37"/>
    <mergeCell ref="T36:T37"/>
    <mergeCell ref="U6:U7"/>
    <mergeCell ref="Q6:Q7"/>
    <mergeCell ref="R6:R7"/>
    <mergeCell ref="S6:S7"/>
    <mergeCell ref="Y6:Y7"/>
    <mergeCell ref="Y36:Y37"/>
    <mergeCell ref="V36:V37"/>
    <mergeCell ref="V6:V7"/>
  </mergeCells>
  <pageMargins left="0.7" right="0.7" top="0.75" bottom="0.75" header="0.3" footer="0.3"/>
  <pageSetup orientation="portrait" r:id="rId1"/>
  <ignoredErrors>
    <ignoredError sqref="I24 J24:AG24 AK24 AH24:AJ24 AL24:AO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D50"/>
  <sheetViews>
    <sheetView topLeftCell="B1" zoomScale="90" zoomScaleNormal="90" workbookViewId="0">
      <selection activeCell="I23" sqref="I23"/>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24" width="11.42578125" style="1" customWidth="1"/>
    <col min="25" max="25" width="11.42578125" style="1"/>
    <col min="26" max="28" width="11.42578125" style="1" customWidth="1"/>
    <col min="29" max="16384" width="11.42578125" style="1"/>
  </cols>
  <sheetData>
    <row r="4" spans="1:30" ht="23.25" x14ac:dyDescent="0.35">
      <c r="B4" s="12" t="s">
        <v>48</v>
      </c>
      <c r="C4" s="13"/>
      <c r="D4" s="13"/>
      <c r="E4" s="13"/>
      <c r="H4" s="12" t="s">
        <v>48</v>
      </c>
      <c r="I4" s="13"/>
      <c r="J4" s="13"/>
      <c r="K4" s="13"/>
      <c r="L4" s="13"/>
      <c r="M4" s="13"/>
      <c r="N4" s="13"/>
      <c r="O4" s="13"/>
      <c r="P4" s="13"/>
      <c r="Q4" s="13"/>
      <c r="R4" s="13"/>
      <c r="S4" s="13"/>
      <c r="T4" s="13"/>
      <c r="U4" s="13"/>
      <c r="V4" s="13"/>
      <c r="W4" s="13"/>
      <c r="X4" s="13"/>
      <c r="Y4" s="13"/>
      <c r="Z4" s="13"/>
      <c r="AA4" s="13"/>
      <c r="AB4" s="13"/>
      <c r="AC4" s="13"/>
    </row>
    <row r="5" spans="1:30" ht="8.25" customHeight="1" x14ac:dyDescent="0.3"/>
    <row r="6" spans="1:30" ht="15.75" customHeight="1" x14ac:dyDescent="0.3">
      <c r="A6" s="1">
        <v>1</v>
      </c>
      <c r="B6" s="3" t="s">
        <v>49</v>
      </c>
      <c r="C6" s="102" t="s">
        <v>136</v>
      </c>
      <c r="D6" s="102" t="s">
        <v>144</v>
      </c>
      <c r="E6" s="102" t="s">
        <v>4</v>
      </c>
      <c r="H6" s="3" t="s">
        <v>49</v>
      </c>
      <c r="I6" s="102" t="s">
        <v>18</v>
      </c>
      <c r="J6" s="102" t="s">
        <v>19</v>
      </c>
      <c r="K6" s="102" t="s">
        <v>20</v>
      </c>
      <c r="L6" s="102" t="s">
        <v>21</v>
      </c>
      <c r="M6" s="102" t="s">
        <v>22</v>
      </c>
      <c r="N6" s="102" t="s">
        <v>23</v>
      </c>
      <c r="O6" s="102" t="s">
        <v>24</v>
      </c>
      <c r="P6" s="102" t="s">
        <v>2</v>
      </c>
      <c r="Q6" s="102" t="s">
        <v>25</v>
      </c>
      <c r="R6" s="102" t="s">
        <v>50</v>
      </c>
      <c r="S6" s="104" t="s">
        <v>27</v>
      </c>
      <c r="T6" s="104" t="s">
        <v>3</v>
      </c>
      <c r="U6" s="102" t="s">
        <v>124</v>
      </c>
      <c r="V6" s="102" t="s">
        <v>126</v>
      </c>
      <c r="W6" s="102" t="s">
        <v>135</v>
      </c>
      <c r="X6" s="102" t="s">
        <v>136</v>
      </c>
      <c r="Y6" s="102" t="s">
        <v>138</v>
      </c>
      <c r="Z6" s="102" t="s">
        <v>139</v>
      </c>
      <c r="AA6" s="102" t="s">
        <v>140</v>
      </c>
      <c r="AB6" s="102" t="s">
        <v>144</v>
      </c>
      <c r="AC6" s="102" t="s">
        <v>148</v>
      </c>
    </row>
    <row r="7" spans="1:30" x14ac:dyDescent="0.3">
      <c r="A7" s="1">
        <v>2</v>
      </c>
      <c r="B7" s="3" t="s">
        <v>51</v>
      </c>
      <c r="C7" s="102"/>
      <c r="D7" s="102"/>
      <c r="E7" s="102"/>
      <c r="H7" s="3" t="s">
        <v>51</v>
      </c>
      <c r="I7" s="102"/>
      <c r="J7" s="102"/>
      <c r="K7" s="102"/>
      <c r="L7" s="102"/>
      <c r="M7" s="102"/>
      <c r="N7" s="102"/>
      <c r="O7" s="102"/>
      <c r="P7" s="102"/>
      <c r="Q7" s="102"/>
      <c r="R7" s="102"/>
      <c r="S7" s="104"/>
      <c r="T7" s="104"/>
      <c r="U7" s="102"/>
      <c r="V7" s="102"/>
      <c r="W7" s="102"/>
      <c r="X7" s="102"/>
      <c r="Y7" s="102"/>
      <c r="Z7" s="102"/>
      <c r="AA7" s="102"/>
      <c r="AB7" s="102"/>
      <c r="AC7" s="102"/>
    </row>
    <row r="8" spans="1:30" ht="6.75" customHeight="1" x14ac:dyDescent="0.3">
      <c r="A8" s="1">
        <v>3</v>
      </c>
    </row>
    <row r="9" spans="1:30" x14ac:dyDescent="0.3">
      <c r="A9" s="1">
        <v>4</v>
      </c>
      <c r="B9" s="2" t="s">
        <v>52</v>
      </c>
      <c r="C9" s="9">
        <f>+HLOOKUP($C$6,$H$6:$AT$46,A9,FALSE)</f>
        <v>335.74076198907102</v>
      </c>
      <c r="D9" s="9">
        <f>+HLOOKUP($D$6,$H$6:$AT$46,A9,FALSE)</f>
        <v>374.91242898228433</v>
      </c>
      <c r="E9" s="38">
        <f>D9/C9-1</f>
        <v>0.11667235983246038</v>
      </c>
      <c r="H9" s="2" t="s">
        <v>52</v>
      </c>
      <c r="I9" s="9">
        <f t="shared" ref="I9:AC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c r="Y9" s="9">
        <f t="shared" si="0"/>
        <v>335.58527098945598</v>
      </c>
      <c r="Z9" s="9">
        <f t="shared" si="0"/>
        <v>372.16881775544198</v>
      </c>
      <c r="AA9" s="9">
        <f t="shared" si="0"/>
        <v>357.07761227968302</v>
      </c>
      <c r="AB9" s="9">
        <f>SUM(AB10:AB11)</f>
        <v>374.91242898228433</v>
      </c>
      <c r="AC9" s="9">
        <f>SUM(AC10:AC11)</f>
        <v>416.83105583738285</v>
      </c>
      <c r="AD9" s="53"/>
    </row>
    <row r="10" spans="1:30" x14ac:dyDescent="0.3">
      <c r="A10" s="1">
        <v>5</v>
      </c>
      <c r="B10" s="4" t="s">
        <v>53</v>
      </c>
      <c r="C10" s="82">
        <f t="shared" ref="C10:C45" si="1">+HLOOKUP($C$6,$H$6:$AT$46,A10,FALSE)</f>
        <v>329.10525194999997</v>
      </c>
      <c r="D10" s="82">
        <f t="shared" ref="D10:D46" si="2">+HLOOKUP($D$6,$H$6:$AT$46,A10,FALSE)</f>
        <v>368.41671285999996</v>
      </c>
      <c r="E10" s="36">
        <f t="shared" ref="E10:E11" si="3">+D10/C10-1</f>
        <v>0.11944950947173716</v>
      </c>
      <c r="H10" s="4" t="s">
        <v>53</v>
      </c>
      <c r="I10" s="82">
        <v>375.70760791999999</v>
      </c>
      <c r="J10" s="82">
        <v>387.07254207000005</v>
      </c>
      <c r="K10" s="82">
        <v>377.56387881999996</v>
      </c>
      <c r="L10" s="82">
        <v>383.95966881999999</v>
      </c>
      <c r="M10" s="82">
        <v>399.36714494</v>
      </c>
      <c r="N10" s="82">
        <v>394.71491316000004</v>
      </c>
      <c r="O10" s="82">
        <f>360.15103961-O11</f>
        <v>353.20982264000003</v>
      </c>
      <c r="P10" s="82">
        <v>378.41628665000002</v>
      </c>
      <c r="Q10" s="82">
        <v>375.03835251999999</v>
      </c>
      <c r="R10" s="82">
        <v>381.06003191000002</v>
      </c>
      <c r="S10" s="82">
        <v>352.25140654999996</v>
      </c>
      <c r="T10" s="82">
        <v>340.84477436216139</v>
      </c>
      <c r="U10" s="82">
        <v>336.26742267000003</v>
      </c>
      <c r="V10" s="82">
        <v>318.16888381999996</v>
      </c>
      <c r="W10" s="82">
        <v>339.68414925000002</v>
      </c>
      <c r="X10" s="82">
        <v>329.10525194999997</v>
      </c>
      <c r="Y10" s="82">
        <v>327.88627881999986</v>
      </c>
      <c r="Z10" s="82">
        <v>362.26222753999991</v>
      </c>
      <c r="AA10" s="82">
        <v>338.07808542000032</v>
      </c>
      <c r="AB10" s="82">
        <v>368.41671285999996</v>
      </c>
      <c r="AC10" s="82">
        <v>404.13782836000001</v>
      </c>
    </row>
    <row r="11" spans="1:30" x14ac:dyDescent="0.3">
      <c r="A11" s="1">
        <v>6</v>
      </c>
      <c r="B11" s="5" t="s">
        <v>54</v>
      </c>
      <c r="C11" s="7">
        <f t="shared" si="1"/>
        <v>6.635510039071038</v>
      </c>
      <c r="D11" s="7">
        <f t="shared" si="2"/>
        <v>6.4957161222843425</v>
      </c>
      <c r="E11" s="36">
        <f t="shared" si="3"/>
        <v>-2.1067546573445672E-2</v>
      </c>
      <c r="H11" s="5" t="s">
        <v>54</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48"/>
    </row>
    <row r="12" spans="1:30" ht="5.25" customHeight="1" x14ac:dyDescent="0.3">
      <c r="A12" s="1">
        <v>7</v>
      </c>
      <c r="E12" s="39"/>
    </row>
    <row r="13" spans="1:30" x14ac:dyDescent="0.3">
      <c r="A13" s="1">
        <v>8</v>
      </c>
      <c r="B13" s="6" t="s">
        <v>55</v>
      </c>
      <c r="C13" s="9">
        <f t="shared" si="1"/>
        <v>-123.59622957000001</v>
      </c>
      <c r="D13" s="9">
        <f t="shared" si="2"/>
        <v>-175.95883669</v>
      </c>
      <c r="E13" s="38">
        <f>D13/C13-1</f>
        <v>0.42365861242024283</v>
      </c>
      <c r="H13" s="6" t="s">
        <v>55</v>
      </c>
      <c r="I13" s="9">
        <f t="shared" ref="I13:AC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-144.02327721</v>
      </c>
      <c r="V13" s="9">
        <f t="shared" si="4"/>
        <v>-144.97976937000001</v>
      </c>
      <c r="W13" s="9">
        <f t="shared" si="4"/>
        <v>-141.80259100999999</v>
      </c>
      <c r="X13" s="9">
        <f t="shared" si="4"/>
        <v>-123.59622957000001</v>
      </c>
      <c r="Y13" s="9">
        <f t="shared" si="4"/>
        <v>-163.24753229999999</v>
      </c>
      <c r="Z13" s="9">
        <f t="shared" si="4"/>
        <v>-189.50218863124448</v>
      </c>
      <c r="AA13" s="9">
        <f t="shared" si="4"/>
        <v>-253.26415183148549</v>
      </c>
      <c r="AB13" s="9">
        <f t="shared" si="4"/>
        <v>-175.95883669</v>
      </c>
      <c r="AC13" s="9">
        <f t="shared" si="4"/>
        <v>-237.66753002999999</v>
      </c>
    </row>
    <row r="14" spans="1:30" x14ac:dyDescent="0.3">
      <c r="A14" s="1">
        <v>9</v>
      </c>
      <c r="B14" s="5" t="s">
        <v>56</v>
      </c>
      <c r="C14" s="8">
        <f t="shared" si="1"/>
        <v>-38.097026920000005</v>
      </c>
      <c r="D14" s="8">
        <f t="shared" si="2"/>
        <v>-30.191743499999983</v>
      </c>
      <c r="E14" s="36">
        <f>+D14/C14-1</f>
        <v>-0.20750394608483058</v>
      </c>
      <c r="H14" s="5" t="s">
        <v>56</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row>
    <row r="15" spans="1:30" x14ac:dyDescent="0.3">
      <c r="A15" s="1">
        <v>10</v>
      </c>
      <c r="B15" s="5" t="s">
        <v>57</v>
      </c>
      <c r="C15" s="8">
        <f t="shared" si="1"/>
        <v>-22.674804890000001</v>
      </c>
      <c r="D15" s="8">
        <f t="shared" si="2"/>
        <v>-22.854881370000005</v>
      </c>
      <c r="E15" s="37">
        <f t="shared" ref="E15:E19" si="5">+D15/C15-1</f>
        <v>7.9416992063918723E-3</v>
      </c>
      <c r="H15" s="5" t="s">
        <v>57</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row>
    <row r="16" spans="1:30" x14ac:dyDescent="0.3">
      <c r="A16" s="1">
        <v>11</v>
      </c>
      <c r="B16" s="5" t="s">
        <v>58</v>
      </c>
      <c r="C16" s="8">
        <f t="shared" si="1"/>
        <v>-31.725625049999998</v>
      </c>
      <c r="D16" s="8">
        <f t="shared" si="2"/>
        <v>-84.117770259999901</v>
      </c>
      <c r="E16" s="37">
        <f t="shared" si="5"/>
        <v>1.6514141211537741</v>
      </c>
      <c r="H16" s="5" t="s">
        <v>58</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48"/>
    </row>
    <row r="17" spans="1:30" x14ac:dyDescent="0.3">
      <c r="A17" s="1">
        <v>12</v>
      </c>
      <c r="B17" s="5" t="s">
        <v>59</v>
      </c>
      <c r="C17" s="8">
        <f t="shared" si="1"/>
        <v>-1.86275127</v>
      </c>
      <c r="D17" s="8">
        <f t="shared" si="2"/>
        <v>-6.1802511400000002</v>
      </c>
      <c r="E17" s="37" t="s">
        <v>43</v>
      </c>
      <c r="H17" s="5" t="s">
        <v>59</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row>
    <row r="18" spans="1:30" x14ac:dyDescent="0.3">
      <c r="A18" s="1">
        <v>13</v>
      </c>
      <c r="B18" s="5" t="s">
        <v>60</v>
      </c>
      <c r="C18" s="8">
        <f t="shared" si="1"/>
        <v>-10.825311670000003</v>
      </c>
      <c r="D18" s="8">
        <f t="shared" si="2"/>
        <v>-16.740971339999994</v>
      </c>
      <c r="E18" s="37">
        <f t="shared" si="5"/>
        <v>0.54646552915367375</v>
      </c>
      <c r="H18" s="5" t="s">
        <v>60</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row>
    <row r="19" spans="1:30" x14ac:dyDescent="0.3">
      <c r="A19" s="1">
        <v>14</v>
      </c>
      <c r="B19" s="5" t="s">
        <v>61</v>
      </c>
      <c r="C19" s="8">
        <f t="shared" si="1"/>
        <v>-18.41070977</v>
      </c>
      <c r="D19" s="8">
        <f t="shared" si="2"/>
        <v>-15.873219080000139</v>
      </c>
      <c r="E19" s="37">
        <f t="shared" si="5"/>
        <v>-0.13782688020722955</v>
      </c>
      <c r="H19" s="5" t="s">
        <v>61</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row>
    <row r="20" spans="1:30" ht="5.25" customHeight="1" x14ac:dyDescent="0.3">
      <c r="A20" s="1">
        <v>15</v>
      </c>
      <c r="E20" s="39"/>
    </row>
    <row r="21" spans="1:30" x14ac:dyDescent="0.3">
      <c r="A21" s="1">
        <v>16</v>
      </c>
      <c r="B21" s="6" t="s">
        <v>62</v>
      </c>
      <c r="C21" s="9">
        <f t="shared" si="1"/>
        <v>212.14453241907103</v>
      </c>
      <c r="D21" s="9">
        <f t="shared" si="2"/>
        <v>198.95359229228433</v>
      </c>
      <c r="E21" s="38">
        <f>D21/C21-1</f>
        <v>-6.2179024726073395E-2</v>
      </c>
      <c r="H21" s="6" t="s">
        <v>62</v>
      </c>
      <c r="I21" s="9">
        <f t="shared" ref="I21:AC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198.58701473000002</v>
      </c>
      <c r="V21" s="9">
        <f t="shared" si="6"/>
        <v>181.53457008999996</v>
      </c>
      <c r="W21" s="9">
        <f t="shared" si="6"/>
        <v>202.19980862000003</v>
      </c>
      <c r="X21" s="9">
        <f t="shared" si="6"/>
        <v>212.14453241907103</v>
      </c>
      <c r="Y21" s="9">
        <f t="shared" si="6"/>
        <v>172.33773868945599</v>
      </c>
      <c r="Z21" s="9">
        <f t="shared" si="6"/>
        <v>182.6666291241975</v>
      </c>
      <c r="AA21" s="9">
        <f t="shared" si="6"/>
        <v>103.81346044819753</v>
      </c>
      <c r="AB21" s="9">
        <f t="shared" si="6"/>
        <v>198.95359229228433</v>
      </c>
      <c r="AC21" s="9">
        <f>AC9+AC13</f>
        <v>179.16352580738285</v>
      </c>
    </row>
    <row r="22" spans="1:30" ht="5.25" customHeight="1" x14ac:dyDescent="0.3">
      <c r="A22" s="1">
        <v>17</v>
      </c>
      <c r="D22" s="1">
        <f t="shared" si="2"/>
        <v>0</v>
      </c>
      <c r="E22" s="39"/>
    </row>
    <row r="23" spans="1:30" x14ac:dyDescent="0.3">
      <c r="A23" s="1">
        <v>18</v>
      </c>
      <c r="B23" s="5" t="s">
        <v>63</v>
      </c>
      <c r="C23" s="8">
        <f t="shared" si="1"/>
        <v>-17.744413205142642</v>
      </c>
      <c r="D23" s="8">
        <f t="shared" si="2"/>
        <v>-17.559487375259824</v>
      </c>
      <c r="E23" s="36">
        <f>+D23/C23-1</f>
        <v>-1.0421636812944834E-2</v>
      </c>
      <c r="H23" s="5" t="s">
        <v>63</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row>
    <row r="24" spans="1:30" x14ac:dyDescent="0.3">
      <c r="A24" s="1">
        <v>19</v>
      </c>
      <c r="B24" s="5" t="s">
        <v>64</v>
      </c>
      <c r="C24" s="8">
        <f t="shared" si="1"/>
        <v>-14.458320406060349</v>
      </c>
      <c r="D24" s="8">
        <f t="shared" si="2"/>
        <v>-17.126937789999957</v>
      </c>
      <c r="E24" s="36">
        <f>+D24/C24-1</f>
        <v>0.18457312530029646</v>
      </c>
      <c r="H24" s="5" t="s">
        <v>64</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row>
    <row r="25" spans="1:30" x14ac:dyDescent="0.3">
      <c r="A25" s="1">
        <v>20</v>
      </c>
      <c r="B25" s="5" t="s">
        <v>65</v>
      </c>
      <c r="C25" s="8">
        <f t="shared" si="1"/>
        <v>-62.955401839999993</v>
      </c>
      <c r="D25" s="8">
        <f t="shared" si="2"/>
        <v>-52.651230061246096</v>
      </c>
      <c r="E25" s="36">
        <f t="shared" ref="E25" si="7">+D25/C25-1</f>
        <v>-0.16367414832712468</v>
      </c>
      <c r="H25" s="5" t="s">
        <v>65</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row>
    <row r="26" spans="1:30" ht="5.25" customHeight="1" x14ac:dyDescent="0.3">
      <c r="A26" s="1">
        <v>21</v>
      </c>
      <c r="E26" s="39"/>
    </row>
    <row r="27" spans="1:30" x14ac:dyDescent="0.3">
      <c r="A27" s="1">
        <v>22</v>
      </c>
      <c r="B27" s="6" t="s">
        <v>66</v>
      </c>
      <c r="C27" s="9">
        <f t="shared" si="1"/>
        <v>116.98639696786805</v>
      </c>
      <c r="D27" s="9">
        <f t="shared" si="2"/>
        <v>111.61593706577845</v>
      </c>
      <c r="E27" s="38">
        <f>D27/C27-1</f>
        <v>-4.590670403811703E-2</v>
      </c>
      <c r="H27" s="6" t="s">
        <v>66</v>
      </c>
      <c r="I27" s="9">
        <f t="shared" ref="I27:AB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94.280945699999961</v>
      </c>
      <c r="W27" s="9">
        <f t="shared" si="8"/>
        <v>112.88332715000003</v>
      </c>
      <c r="X27" s="9">
        <f t="shared" si="8"/>
        <v>116.98639696786805</v>
      </c>
      <c r="Y27" s="9">
        <f>Y25+Y24+Y23+Y21</f>
        <v>81.928218009471976</v>
      </c>
      <c r="Z27" s="9">
        <f t="shared" si="8"/>
        <v>94.606332352696029</v>
      </c>
      <c r="AA27" s="9">
        <f t="shared" si="8"/>
        <v>18.88394693551561</v>
      </c>
      <c r="AB27" s="9">
        <f t="shared" si="8"/>
        <v>111.61593706577845</v>
      </c>
      <c r="AC27" s="9">
        <f>AC25+AC24+AC23+AC21</f>
        <v>92.770078490742222</v>
      </c>
    </row>
    <row r="28" spans="1:30" ht="5.25" customHeight="1" x14ac:dyDescent="0.3">
      <c r="A28" s="1">
        <v>23</v>
      </c>
      <c r="C28" s="1">
        <f t="shared" si="1"/>
        <v>0</v>
      </c>
      <c r="D28" s="48">
        <f t="shared" si="2"/>
        <v>0</v>
      </c>
      <c r="E28" s="39"/>
      <c r="I28" s="48"/>
      <c r="K28" s="48"/>
      <c r="M28" s="48"/>
      <c r="O28" s="48"/>
      <c r="Q28" s="48"/>
      <c r="R28" s="48"/>
      <c r="S28" s="48"/>
      <c r="T28" s="48"/>
      <c r="U28" s="48"/>
      <c r="V28" s="48"/>
      <c r="W28" s="48"/>
      <c r="X28" s="48"/>
      <c r="Y28" s="48"/>
      <c r="Z28" s="48"/>
      <c r="AA28" s="48"/>
      <c r="AB28" s="48"/>
      <c r="AC28" s="48"/>
    </row>
    <row r="29" spans="1:30" x14ac:dyDescent="0.3">
      <c r="A29" s="1">
        <v>24</v>
      </c>
      <c r="B29" s="6" t="s">
        <v>67</v>
      </c>
      <c r="C29" s="9">
        <f>+HLOOKUP($C$6,$H$6:$AT$46,A29,FALSE)</f>
        <v>179.94179880786803</v>
      </c>
      <c r="D29" s="9">
        <f>+HLOOKUP($D$6,$H$6:$AT$46,A29,FALSE)</f>
        <v>164.267167127025</v>
      </c>
      <c r="E29" s="38">
        <f>D29/C29-1</f>
        <v>-8.7109453082546584E-2</v>
      </c>
      <c r="H29" s="6" t="s">
        <v>67</v>
      </c>
      <c r="I29" s="9">
        <f>+I21+I23+I24</f>
        <v>154.80143864000004</v>
      </c>
      <c r="J29" s="9">
        <f>+J21+J23+J24</f>
        <v>158.47682742000003</v>
      </c>
      <c r="K29" s="9">
        <f>+K21+K23+K24</f>
        <v>174.02438614999991</v>
      </c>
      <c r="L29" s="9">
        <f t="shared" ref="L29:X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155.26443031999995</v>
      </c>
      <c r="W29" s="9">
        <f t="shared" si="9"/>
        <v>174.98602269000003</v>
      </c>
      <c r="X29" s="9">
        <f t="shared" si="9"/>
        <v>179.94179880786803</v>
      </c>
      <c r="Y29" s="9">
        <f>+Y21+Y23+Y24</f>
        <v>137.35431132242536</v>
      </c>
      <c r="Z29" s="9">
        <f>+'[1]EERR Cons.'!BO30-'[1]EERR Cons.'!BO28</f>
        <v>146.74054928974263</v>
      </c>
      <c r="AA29" s="9">
        <v>71.8350810880561</v>
      </c>
      <c r="AB29" s="9">
        <v>164.267167127025</v>
      </c>
      <c r="AC29" s="9">
        <f>+AC21+AC23+AC24</f>
        <v>145.59138903727734</v>
      </c>
      <c r="AD29" s="89"/>
    </row>
    <row r="30" spans="1:30" ht="5.25" customHeight="1" x14ac:dyDescent="0.3">
      <c r="A30" s="1">
        <v>25</v>
      </c>
      <c r="E30" s="39"/>
    </row>
    <row r="31" spans="1:30" x14ac:dyDescent="0.3">
      <c r="A31" s="1">
        <v>26</v>
      </c>
      <c r="B31" s="5" t="s">
        <v>68</v>
      </c>
      <c r="C31" s="8">
        <f t="shared" si="1"/>
        <v>1.4703000900000001</v>
      </c>
      <c r="D31" s="8">
        <f t="shared" si="2"/>
        <v>1.6097711700000004</v>
      </c>
      <c r="E31" s="36">
        <f>+D31/C31-1</f>
        <v>9.4858920943139191E-2</v>
      </c>
      <c r="F31" s="33"/>
      <c r="G31" s="33"/>
      <c r="H31" s="5" t="s">
        <v>68</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33"/>
    </row>
    <row r="32" spans="1:30" x14ac:dyDescent="0.3">
      <c r="A32" s="1">
        <v>27</v>
      </c>
      <c r="B32" s="5" t="s">
        <v>69</v>
      </c>
      <c r="C32" s="8">
        <f t="shared" si="1"/>
        <v>-22.307162131803203</v>
      </c>
      <c r="D32" s="8">
        <f t="shared" si="2"/>
        <v>-21.766330402300618</v>
      </c>
      <c r="E32" s="36">
        <f t="shared" ref="E32:E43" si="10">+D32/C32-1</f>
        <v>-2.4244757190854171E-2</v>
      </c>
      <c r="F32" s="33"/>
      <c r="G32" s="33"/>
      <c r="H32" s="5" t="s">
        <v>69</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33"/>
    </row>
    <row r="33" spans="1:30" x14ac:dyDescent="0.3">
      <c r="A33" s="1">
        <v>28</v>
      </c>
      <c r="B33" s="5" t="s">
        <v>70</v>
      </c>
      <c r="C33" s="8">
        <f t="shared" si="1"/>
        <v>3.48765462486777</v>
      </c>
      <c r="D33" s="8">
        <f t="shared" si="2"/>
        <v>-1.342467725717956</v>
      </c>
      <c r="E33" s="80" t="s">
        <v>43</v>
      </c>
      <c r="F33" s="33"/>
      <c r="G33" s="33"/>
      <c r="H33" s="5" t="s">
        <v>70</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33"/>
    </row>
    <row r="34" spans="1:30" x14ac:dyDescent="0.3">
      <c r="A34" s="1">
        <v>29</v>
      </c>
      <c r="B34" s="5" t="s">
        <v>71</v>
      </c>
      <c r="C34" s="8">
        <f t="shared" si="1"/>
        <v>3.2800220100000002</v>
      </c>
      <c r="D34" s="8">
        <f t="shared" si="2"/>
        <v>1.3235566899999993</v>
      </c>
      <c r="E34" s="36">
        <f t="shared" si="10"/>
        <v>-0.59647932667378678</v>
      </c>
      <c r="F34" s="33"/>
      <c r="G34" s="33"/>
      <c r="H34" s="5" t="s">
        <v>71</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33"/>
    </row>
    <row r="35" spans="1:30" x14ac:dyDescent="0.3">
      <c r="A35" s="1">
        <v>30</v>
      </c>
      <c r="B35" s="5" t="s">
        <v>72</v>
      </c>
      <c r="C35" s="8">
        <f t="shared" si="1"/>
        <v>-193.31770803000001</v>
      </c>
      <c r="D35" s="8">
        <f t="shared" si="2"/>
        <v>-161.90484948137998</v>
      </c>
      <c r="E35" s="49">
        <f t="shared" si="10"/>
        <v>-0.16249343564400842</v>
      </c>
      <c r="F35" s="33"/>
      <c r="G35" s="33"/>
      <c r="H35" s="5" t="s">
        <v>72</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33"/>
    </row>
    <row r="36" spans="1:30" ht="5.25" customHeight="1" x14ac:dyDescent="0.3">
      <c r="A36" s="1">
        <v>31</v>
      </c>
      <c r="E36" s="39"/>
    </row>
    <row r="37" spans="1:30" x14ac:dyDescent="0.3">
      <c r="A37" s="1">
        <v>32</v>
      </c>
      <c r="B37" s="6" t="s">
        <v>73</v>
      </c>
      <c r="C37" s="9">
        <f t="shared" si="1"/>
        <v>-207.38689343693545</v>
      </c>
      <c r="D37" s="9">
        <f t="shared" si="2"/>
        <v>-182.08031974939854</v>
      </c>
      <c r="E37" s="91">
        <f t="shared" si="10"/>
        <v>-0.12202590659487567</v>
      </c>
      <c r="F37" s="33"/>
      <c r="G37" s="33"/>
      <c r="H37" s="6" t="s">
        <v>73</v>
      </c>
      <c r="I37" s="9">
        <f t="shared" ref="I37:AC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9">
        <f t="shared" si="11"/>
        <v>-43.865903973024921</v>
      </c>
      <c r="Z37" s="9">
        <f t="shared" si="11"/>
        <v>-40.325632815730714</v>
      </c>
      <c r="AA37" s="9">
        <f t="shared" si="11"/>
        <v>784.41152487000602</v>
      </c>
      <c r="AB37" s="9">
        <f t="shared" si="11"/>
        <v>-182.08031974939854</v>
      </c>
      <c r="AC37" s="9">
        <f t="shared" si="11"/>
        <v>-30.500634556358893</v>
      </c>
      <c r="AD37" s="33"/>
    </row>
    <row r="38" spans="1:30" ht="5.25" customHeight="1" x14ac:dyDescent="0.3">
      <c r="A38" s="1">
        <v>33</v>
      </c>
      <c r="E38" s="97"/>
    </row>
    <row r="39" spans="1:30" x14ac:dyDescent="0.3">
      <c r="A39" s="1">
        <v>34</v>
      </c>
      <c r="B39" s="6" t="s">
        <v>74</v>
      </c>
      <c r="C39" s="9">
        <f t="shared" si="1"/>
        <v>-90.400496469067406</v>
      </c>
      <c r="D39" s="9">
        <f t="shared" si="2"/>
        <v>-70.464382683620087</v>
      </c>
      <c r="E39" s="91">
        <f t="shared" si="10"/>
        <v>-0.2205310210024003</v>
      </c>
      <c r="F39" s="33"/>
      <c r="G39" s="33"/>
      <c r="H39" s="6" t="s">
        <v>74</v>
      </c>
      <c r="I39" s="9">
        <f t="shared" ref="I39:AC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72.170159209999952</v>
      </c>
      <c r="W39" s="9">
        <f t="shared" si="12"/>
        <v>88.036666690000018</v>
      </c>
      <c r="X39" s="9">
        <f t="shared" si="12"/>
        <v>-90.400496469067406</v>
      </c>
      <c r="Y39" s="9">
        <f t="shared" si="12"/>
        <v>38.062314036447056</v>
      </c>
      <c r="Z39" s="9">
        <f t="shared" si="12"/>
        <v>54.280699536965315</v>
      </c>
      <c r="AA39" s="9">
        <f t="shared" si="12"/>
        <v>803.29547180552163</v>
      </c>
      <c r="AB39" s="9">
        <f t="shared" si="12"/>
        <v>-70.464382683620087</v>
      </c>
      <c r="AC39" s="9">
        <f t="shared" si="12"/>
        <v>62.269443934383332</v>
      </c>
      <c r="AD39" s="33"/>
    </row>
    <row r="40" spans="1:30" ht="5.25" customHeight="1" x14ac:dyDescent="0.3">
      <c r="A40" s="1">
        <v>35</v>
      </c>
      <c r="E40" s="97"/>
    </row>
    <row r="41" spans="1:30" x14ac:dyDescent="0.3">
      <c r="A41" s="1">
        <v>36</v>
      </c>
      <c r="B41" s="5" t="s">
        <v>75</v>
      </c>
      <c r="C41" s="8">
        <f t="shared" si="1"/>
        <v>27.518141006061192</v>
      </c>
      <c r="D41" s="8">
        <f t="shared" si="2"/>
        <v>18.076551095056629</v>
      </c>
      <c r="E41" s="49">
        <f t="shared" si="10"/>
        <v>-0.34310420565564159</v>
      </c>
      <c r="F41" s="33"/>
      <c r="G41" s="33"/>
      <c r="H41" s="5" t="s">
        <v>75</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33"/>
    </row>
    <row r="42" spans="1:30" ht="6.75" customHeight="1" x14ac:dyDescent="0.3">
      <c r="A42" s="1">
        <v>37</v>
      </c>
      <c r="E42" s="97"/>
    </row>
    <row r="43" spans="1:30" x14ac:dyDescent="0.3">
      <c r="A43" s="1">
        <v>38</v>
      </c>
      <c r="B43" s="3" t="s">
        <v>76</v>
      </c>
      <c r="C43" s="17">
        <f t="shared" si="1"/>
        <v>-62.882355463006213</v>
      </c>
      <c r="D43" s="17">
        <f t="shared" si="2"/>
        <v>-52.387831588563458</v>
      </c>
      <c r="E43" s="51">
        <f t="shared" si="10"/>
        <v>-0.16689139261993291</v>
      </c>
      <c r="F43" s="33"/>
      <c r="G43" s="33"/>
      <c r="H43" s="3" t="s">
        <v>76</v>
      </c>
      <c r="I43" s="10">
        <f t="shared" ref="I43:AC43" si="13">I39+I41</f>
        <v>60.521821480000014</v>
      </c>
      <c r="J43" s="10">
        <f t="shared" si="13"/>
        <v>78.328132860000025</v>
      </c>
      <c r="K43" s="10">
        <f t="shared" si="13"/>
        <v>70.210792779999906</v>
      </c>
      <c r="L43" s="10">
        <f t="shared" si="13"/>
        <v>79.54130951999997</v>
      </c>
      <c r="M43" s="10">
        <f t="shared" si="13"/>
        <v>64.406698590000005</v>
      </c>
      <c r="N43" s="10">
        <f t="shared" si="13"/>
        <v>44.764812869999986</v>
      </c>
      <c r="O43" s="10">
        <f t="shared" si="13"/>
        <v>53.879768609999999</v>
      </c>
      <c r="P43" s="10">
        <f t="shared" si="13"/>
        <v>67.335081529999997</v>
      </c>
      <c r="Q43" s="10">
        <f t="shared" si="13"/>
        <v>66.334570689999936</v>
      </c>
      <c r="R43" s="10">
        <f t="shared" si="13"/>
        <v>61.375151090000031</v>
      </c>
      <c r="S43" s="10">
        <f t="shared" si="13"/>
        <v>54.692565890000019</v>
      </c>
      <c r="T43" s="10">
        <f t="shared" si="13"/>
        <v>19.483411101313706</v>
      </c>
      <c r="U43" s="10">
        <f t="shared" si="13"/>
        <v>40.459675610000033</v>
      </c>
      <c r="V43" s="10">
        <f t="shared" si="13"/>
        <v>49.667237199999953</v>
      </c>
      <c r="W43" s="10">
        <f t="shared" si="13"/>
        <v>62.207152130000019</v>
      </c>
      <c r="X43" s="17">
        <f>X39+X41</f>
        <v>-62.882355463006213</v>
      </c>
      <c r="Y43" s="17">
        <f t="shared" si="13"/>
        <v>-41.216113527428398</v>
      </c>
      <c r="Z43" s="17">
        <f t="shared" si="13"/>
        <v>32.884941470840772</v>
      </c>
      <c r="AA43" s="17">
        <f t="shared" si="13"/>
        <v>600.9009453321911</v>
      </c>
      <c r="AB43" s="17">
        <f t="shared" si="13"/>
        <v>-52.387831588563458</v>
      </c>
      <c r="AC43" s="17">
        <f t="shared" si="13"/>
        <v>55.879963771958522</v>
      </c>
      <c r="AD43" s="33"/>
    </row>
    <row r="44" spans="1:30" ht="5.25" customHeight="1" x14ac:dyDescent="0.3">
      <c r="A44" s="1">
        <v>39</v>
      </c>
      <c r="E44" s="97"/>
    </row>
    <row r="45" spans="1:30" x14ac:dyDescent="0.3">
      <c r="A45" s="1">
        <v>40</v>
      </c>
      <c r="B45" s="5" t="s">
        <v>77</v>
      </c>
      <c r="C45" s="8">
        <f t="shared" si="1"/>
        <v>0.45741877699381206</v>
      </c>
      <c r="D45" s="8">
        <f t="shared" si="2"/>
        <v>-55.052248128563633</v>
      </c>
      <c r="E45" s="49" t="s">
        <v>43</v>
      </c>
      <c r="F45" s="33"/>
      <c r="G45" s="33"/>
      <c r="H45" s="5" t="s">
        <v>77</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row>
    <row r="46" spans="1:30" x14ac:dyDescent="0.3">
      <c r="A46" s="1">
        <v>41</v>
      </c>
      <c r="B46" s="5" t="s">
        <v>78</v>
      </c>
      <c r="C46" s="8">
        <f>+HLOOKUP($C$6,$H$6:$AT$46,A46,FALSE)</f>
        <v>-63.323743620000002</v>
      </c>
      <c r="D46" s="8">
        <f t="shared" si="2"/>
        <v>2.663956750000001</v>
      </c>
      <c r="E46" s="49" t="s">
        <v>43</v>
      </c>
      <c r="F46" s="33"/>
      <c r="G46" s="33"/>
      <c r="H46" s="5" t="s">
        <v>78</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row>
    <row r="48" spans="1:30" x14ac:dyDescent="0.3">
      <c r="I48" s="33"/>
      <c r="J48" s="33"/>
      <c r="K48" s="33"/>
      <c r="L48" s="33"/>
      <c r="M48" s="33"/>
      <c r="N48" s="33"/>
      <c r="O48" s="33"/>
      <c r="S48" s="33"/>
      <c r="T48" s="33"/>
      <c r="U48" s="33"/>
      <c r="V48" s="33"/>
      <c r="W48" s="33"/>
      <c r="X48" s="33"/>
      <c r="Y48" s="33"/>
      <c r="Z48" s="33"/>
      <c r="AA48" s="33"/>
      <c r="AB48" s="33"/>
      <c r="AC48" s="33"/>
    </row>
    <row r="49" spans="2:5" ht="76.5" customHeight="1" x14ac:dyDescent="0.3">
      <c r="B49" s="105" t="s">
        <v>127</v>
      </c>
      <c r="C49" s="105"/>
      <c r="D49" s="105"/>
      <c r="E49" s="105"/>
    </row>
    <row r="50" spans="2:5" ht="207" customHeight="1" x14ac:dyDescent="0.3">
      <c r="B50" s="105"/>
      <c r="C50" s="105"/>
      <c r="D50" s="105"/>
      <c r="E50" s="105"/>
    </row>
  </sheetData>
  <mergeCells count="26">
    <mergeCell ref="AC6:AC7"/>
    <mergeCell ref="N6:N7"/>
    <mergeCell ref="Y6:Y7"/>
    <mergeCell ref="W6:W7"/>
    <mergeCell ref="V6:V7"/>
    <mergeCell ref="K6:K7"/>
    <mergeCell ref="L6:L7"/>
    <mergeCell ref="M6:M7"/>
    <mergeCell ref="B50:E50"/>
    <mergeCell ref="I6:I7"/>
    <mergeCell ref="J6:J7"/>
    <mergeCell ref="C6:C7"/>
    <mergeCell ref="D6:D7"/>
    <mergeCell ref="E6:E7"/>
    <mergeCell ref="B49:E49"/>
    <mergeCell ref="AB6:AB7"/>
    <mergeCell ref="U6:U7"/>
    <mergeCell ref="T6:T7"/>
    <mergeCell ref="O6:O7"/>
    <mergeCell ref="S6:S7"/>
    <mergeCell ref="X6:X7"/>
    <mergeCell ref="R6:R7"/>
    <mergeCell ref="P6:P7"/>
    <mergeCell ref="Q6:Q7"/>
    <mergeCell ref="AA6:AA7"/>
    <mergeCell ref="Z6:Z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P73"/>
  <sheetViews>
    <sheetView topLeftCell="U40" zoomScaleNormal="100" zoomScaleSheetLayoutView="100" workbookViewId="0">
      <selection activeCell="U16" sqref="U16"/>
    </sheetView>
  </sheetViews>
  <sheetFormatPr baseColWidth="10" defaultColWidth="11.42578125" defaultRowHeight="15" x14ac:dyDescent="0.3"/>
  <cols>
    <col min="1" max="1" width="11.42578125" style="1" hidden="1" customWidth="1"/>
    <col min="2" max="2" width="38.5703125" style="1" customWidth="1"/>
    <col min="3" max="7" width="11.42578125" style="1"/>
    <col min="8" max="8" width="42.28515625" style="1" customWidth="1"/>
    <col min="9" max="20" width="11.42578125" style="1" hidden="1" customWidth="1"/>
    <col min="21" max="36" width="11.42578125" style="1" customWidth="1"/>
    <col min="37" max="16384" width="11.42578125" style="1"/>
  </cols>
  <sheetData>
    <row r="5" spans="1:42" ht="23.25" x14ac:dyDescent="0.35">
      <c r="B5" s="12" t="s">
        <v>146</v>
      </c>
      <c r="C5" s="13"/>
      <c r="D5" s="13"/>
      <c r="E5" s="13"/>
      <c r="H5" s="12" t="s">
        <v>146</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row>
    <row r="7" spans="1:42" x14ac:dyDescent="0.3">
      <c r="A7" s="1">
        <v>1</v>
      </c>
      <c r="B7" s="3" t="s">
        <v>81</v>
      </c>
      <c r="C7" s="102" t="s">
        <v>138</v>
      </c>
      <c r="D7" s="102" t="s">
        <v>148</v>
      </c>
      <c r="E7" s="102" t="s">
        <v>80</v>
      </c>
      <c r="H7" s="3" t="s">
        <v>81</v>
      </c>
      <c r="I7" s="73" t="s">
        <v>6</v>
      </c>
      <c r="J7" s="73" t="s">
        <v>7</v>
      </c>
      <c r="K7" s="73" t="s">
        <v>8</v>
      </c>
      <c r="L7" s="73" t="s">
        <v>9</v>
      </c>
      <c r="M7" s="73" t="s">
        <v>10</v>
      </c>
      <c r="N7" s="73" t="s">
        <v>11</v>
      </c>
      <c r="O7" s="73" t="s">
        <v>12</v>
      </c>
      <c r="P7" s="73" t="s">
        <v>13</v>
      </c>
      <c r="Q7" s="73" t="s">
        <v>14</v>
      </c>
      <c r="R7" s="73" t="s">
        <v>15</v>
      </c>
      <c r="S7" s="73" t="s">
        <v>16</v>
      </c>
      <c r="T7" s="73" t="s">
        <v>17</v>
      </c>
      <c r="U7" s="102" t="s">
        <v>18</v>
      </c>
      <c r="V7" s="102" t="s">
        <v>19</v>
      </c>
      <c r="W7" s="102" t="s">
        <v>20</v>
      </c>
      <c r="X7" s="102" t="s">
        <v>21</v>
      </c>
      <c r="Y7" s="102" t="s">
        <v>22</v>
      </c>
      <c r="Z7" s="102" t="s">
        <v>23</v>
      </c>
      <c r="AA7" s="102" t="s">
        <v>24</v>
      </c>
      <c r="AB7" s="102" t="s">
        <v>2</v>
      </c>
      <c r="AC7" s="102" t="s">
        <v>25</v>
      </c>
      <c r="AD7" s="102" t="s">
        <v>26</v>
      </c>
      <c r="AE7" s="102" t="s">
        <v>27</v>
      </c>
      <c r="AF7" s="102" t="s">
        <v>3</v>
      </c>
      <c r="AG7" s="102" t="s">
        <v>124</v>
      </c>
      <c r="AH7" s="102" t="s">
        <v>126</v>
      </c>
      <c r="AI7" s="102" t="s">
        <v>135</v>
      </c>
      <c r="AJ7" s="102" t="s">
        <v>136</v>
      </c>
      <c r="AK7" s="102" t="s">
        <v>138</v>
      </c>
      <c r="AL7" s="102" t="s">
        <v>139</v>
      </c>
      <c r="AM7" s="102" t="s">
        <v>140</v>
      </c>
      <c r="AN7" s="102" t="s">
        <v>144</v>
      </c>
      <c r="AO7" s="102" t="s">
        <v>148</v>
      </c>
    </row>
    <row r="8" spans="1:42" x14ac:dyDescent="0.3">
      <c r="A8" s="1">
        <v>2</v>
      </c>
      <c r="B8" s="3" t="s">
        <v>51</v>
      </c>
      <c r="C8" s="102"/>
      <c r="D8" s="102"/>
      <c r="E8" s="102"/>
      <c r="H8" s="3" t="s">
        <v>51</v>
      </c>
      <c r="I8" s="73"/>
      <c r="J8" s="73"/>
      <c r="K8" s="73"/>
      <c r="L8" s="73"/>
      <c r="M8" s="73"/>
      <c r="N8" s="73"/>
      <c r="O8" s="73"/>
      <c r="P8" s="73"/>
      <c r="Q8" s="73"/>
      <c r="R8" s="73"/>
      <c r="S8" s="73"/>
      <c r="T8" s="73"/>
      <c r="U8" s="102"/>
      <c r="V8" s="102"/>
      <c r="W8" s="102"/>
      <c r="X8" s="102"/>
      <c r="Y8" s="102"/>
      <c r="Z8" s="102"/>
      <c r="AA8" s="102"/>
      <c r="AB8" s="102"/>
      <c r="AC8" s="102"/>
      <c r="AD8" s="102"/>
      <c r="AE8" s="102"/>
      <c r="AF8" s="102"/>
      <c r="AG8" s="102"/>
      <c r="AH8" s="102"/>
      <c r="AI8" s="102"/>
      <c r="AJ8" s="102"/>
      <c r="AK8" s="102"/>
      <c r="AL8" s="102"/>
      <c r="AM8" s="102"/>
      <c r="AN8" s="102"/>
      <c r="AO8" s="102"/>
    </row>
    <row r="9" spans="1:42" x14ac:dyDescent="0.3">
      <c r="A9" s="1">
        <v>3</v>
      </c>
    </row>
    <row r="10" spans="1:42" x14ac:dyDescent="0.3">
      <c r="A10" s="1">
        <v>4</v>
      </c>
      <c r="B10" s="2" t="s">
        <v>81</v>
      </c>
      <c r="C10" s="9">
        <f>+SUM(C11:C15)</f>
        <v>297.6257196794561</v>
      </c>
      <c r="D10" s="9">
        <f>SUM(D11:D15)</f>
        <v>361.71194770738282</v>
      </c>
      <c r="E10" s="38">
        <f t="shared" ref="E10:E33" si="0">D10/C10-1</f>
        <v>0.21532489899376905</v>
      </c>
      <c r="H10" s="2" t="s">
        <v>81</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9">
        <f>SUM(AK11:AK15)</f>
        <v>297.6257196794561</v>
      </c>
      <c r="AL10" s="9">
        <f>SUM(AL11:AL15)</f>
        <v>332.30324994544213</v>
      </c>
      <c r="AM10" s="9">
        <f>SUM(AM11:AM15)</f>
        <v>308.10021082968274</v>
      </c>
      <c r="AN10" s="9">
        <v>330</v>
      </c>
      <c r="AO10" s="9">
        <f>+SUM(AO11:AO15)</f>
        <v>361.71194770738282</v>
      </c>
      <c r="AP10" s="33"/>
    </row>
    <row r="11" spans="1:42" x14ac:dyDescent="0.3">
      <c r="A11" s="1">
        <v>5</v>
      </c>
      <c r="B11" s="5" t="s">
        <v>82</v>
      </c>
      <c r="C11" s="7">
        <f>+HLOOKUP($C$7,$H$7:$AP$33,A11,FALSE)</f>
        <v>80.394318520000013</v>
      </c>
      <c r="D11" s="7">
        <f>+HLOOKUP($D$7,$H$7:$AP$33,A11,FALSE)</f>
        <v>68.380471639999996</v>
      </c>
      <c r="E11" s="36">
        <f t="shared" si="0"/>
        <v>-0.14943651617634257</v>
      </c>
      <c r="H11" s="5" t="s">
        <v>82</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f>114.87748868-AL46</f>
        <v>88.743230329999989</v>
      </c>
      <c r="AM11" s="7">
        <v>92.522331149999999</v>
      </c>
      <c r="AN11" s="7">
        <v>87.586306500000035</v>
      </c>
      <c r="AO11" s="7">
        <v>68.380471639999996</v>
      </c>
      <c r="AP11" s="33"/>
    </row>
    <row r="12" spans="1:42" x14ac:dyDescent="0.3">
      <c r="A12" s="1">
        <v>6</v>
      </c>
      <c r="B12" s="5" t="s">
        <v>83</v>
      </c>
      <c r="C12" s="7">
        <f t="shared" ref="C12:C15" si="2">+HLOOKUP($C$7,$H$7:$AP$33,A12,FALSE)</f>
        <v>160.15493628000002</v>
      </c>
      <c r="D12" s="7">
        <f t="shared" ref="D12:D15" si="3">+HLOOKUP($D$7,$H$7:$AP$33,A12,FALSE)</f>
        <v>230.86547482000003</v>
      </c>
      <c r="E12" s="36">
        <f t="shared" si="0"/>
        <v>0.44151332567343582</v>
      </c>
      <c r="H12" s="5" t="s">
        <v>83</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4">
        <v>141.20456391000002</v>
      </c>
      <c r="AA12" s="44">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f>168.30556543-AL47</f>
        <v>162.52249409000001</v>
      </c>
      <c r="AM12" s="7">
        <v>149.12498557999999</v>
      </c>
      <c r="AN12" s="7">
        <v>195.05197591999996</v>
      </c>
      <c r="AO12" s="7">
        <v>230.86547482000003</v>
      </c>
      <c r="AP12" s="55"/>
    </row>
    <row r="13" spans="1:42" x14ac:dyDescent="0.3">
      <c r="A13" s="1">
        <v>7</v>
      </c>
      <c r="B13" s="5" t="s">
        <v>84</v>
      </c>
      <c r="C13" s="7">
        <f t="shared" si="2"/>
        <v>24.850406810000003</v>
      </c>
      <c r="D13" s="7">
        <f t="shared" si="3"/>
        <v>53.898064349999991</v>
      </c>
      <c r="E13" s="36">
        <f t="shared" si="0"/>
        <v>1.1689006848898336</v>
      </c>
      <c r="H13" s="5" t="s">
        <v>84</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4">
        <v>39.212896179999994</v>
      </c>
      <c r="AA13" s="44">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f>66.13655664-AL48</f>
        <v>59.43367155</v>
      </c>
      <c r="AM13" s="7">
        <v>45.743328219999995</v>
      </c>
      <c r="AN13" s="7">
        <v>42.527461470000006</v>
      </c>
      <c r="AO13" s="7">
        <v>53.898064349999991</v>
      </c>
    </row>
    <row r="14" spans="1:42" x14ac:dyDescent="0.3">
      <c r="A14" s="1">
        <v>8</v>
      </c>
      <c r="B14" s="5" t="s">
        <v>56</v>
      </c>
      <c r="C14" s="100">
        <f>+HLOOKUP($C$7,$H$7:$AP$33,A14,FALSE)</f>
        <v>26.02272966</v>
      </c>
      <c r="D14" s="44">
        <f>+HLOOKUP($D$7,$H$7:$AP$33,A14,FALSE)</f>
        <v>0</v>
      </c>
      <c r="E14" s="36"/>
      <c r="H14" s="5" t="s">
        <v>56</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4">
        <v>13.981938399999999</v>
      </c>
      <c r="AA14" s="44">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12.942616790000017</v>
      </c>
      <c r="AM14" s="7">
        <v>2.8865866999999898</v>
      </c>
      <c r="AN14" s="44">
        <v>0</v>
      </c>
      <c r="AO14" s="44">
        <v>0</v>
      </c>
    </row>
    <row r="15" spans="1:42" x14ac:dyDescent="0.3">
      <c r="A15" s="1">
        <v>9</v>
      </c>
      <c r="B15" s="5" t="s">
        <v>54</v>
      </c>
      <c r="C15" s="7">
        <f t="shared" si="2"/>
        <v>6.2033284094561196</v>
      </c>
      <c r="D15" s="7">
        <f t="shared" si="3"/>
        <v>8.5679368973828378</v>
      </c>
      <c r="E15" s="36">
        <f t="shared" si="0"/>
        <v>0.38118383097728614</v>
      </c>
      <c r="H15" s="5" t="s">
        <v>54</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4">
        <v>5.0303974700000005</v>
      </c>
      <c r="AA15" s="44">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17.822979179682701</v>
      </c>
      <c r="AN15" s="7">
        <v>4.9064399222843491</v>
      </c>
      <c r="AO15" s="7">
        <v>8.5679368973828378</v>
      </c>
    </row>
    <row r="16" spans="1:42" x14ac:dyDescent="0.3">
      <c r="A16" s="1">
        <v>10</v>
      </c>
      <c r="C16" s="33"/>
      <c r="D16" s="33"/>
      <c r="E16" s="40"/>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row>
    <row r="17" spans="1:41" x14ac:dyDescent="0.3">
      <c r="A17" s="1">
        <v>11</v>
      </c>
      <c r="B17" s="2" t="s">
        <v>85</v>
      </c>
      <c r="C17" s="9">
        <f t="shared" ref="C17" si="4">SUM(C18:C23)</f>
        <v>-145.81400551999999</v>
      </c>
      <c r="D17" s="9">
        <f t="shared" ref="D17" si="5">SUM(D18:D23)</f>
        <v>-211.96305361999998</v>
      </c>
      <c r="E17" s="38">
        <f>D17/C17-1</f>
        <v>0.45365359701971086</v>
      </c>
      <c r="H17" s="2" t="s">
        <v>85</v>
      </c>
      <c r="I17" s="9">
        <f t="shared" ref="I17:AJ17" si="6">SUM(I18:I23)</f>
        <v>-275.35129532000002</v>
      </c>
      <c r="J17" s="9">
        <f t="shared" si="6"/>
        <v>-245.57660835000001</v>
      </c>
      <c r="K17" s="9">
        <f t="shared" si="6"/>
        <v>-213.76067669000003</v>
      </c>
      <c r="L17" s="9">
        <f t="shared" si="6"/>
        <v>-149.01963957999999</v>
      </c>
      <c r="M17" s="9">
        <f t="shared" si="6"/>
        <v>-205.1628939</v>
      </c>
      <c r="N17" s="9">
        <f t="shared" si="6"/>
        <v>-201.26569451</v>
      </c>
      <c r="O17" s="9">
        <f t="shared" si="6"/>
        <v>-136.02479528999999</v>
      </c>
      <c r="P17" s="9">
        <f t="shared" si="6"/>
        <v>-98.7</v>
      </c>
      <c r="Q17" s="9">
        <f t="shared" si="6"/>
        <v>-132.75843111</v>
      </c>
      <c r="R17" s="9">
        <f t="shared" si="6"/>
        <v>-150.15819938999999</v>
      </c>
      <c r="S17" s="9">
        <f t="shared" si="6"/>
        <v>-154.75086822</v>
      </c>
      <c r="T17" s="9">
        <f t="shared" si="6"/>
        <v>-142.57810221000003</v>
      </c>
      <c r="U17" s="9">
        <f t="shared" si="6"/>
        <v>-167.26441367999999</v>
      </c>
      <c r="V17" s="9">
        <f t="shared" si="6"/>
        <v>-175.75027431000001</v>
      </c>
      <c r="W17" s="9">
        <f t="shared" si="6"/>
        <v>-147.17653369000001</v>
      </c>
      <c r="X17" s="9">
        <f t="shared" si="6"/>
        <v>-124.09420446999999</v>
      </c>
      <c r="Y17" s="9">
        <f t="shared" si="6"/>
        <v>-173.83893678999999</v>
      </c>
      <c r="Z17" s="9">
        <f t="shared" si="6"/>
        <v>-181.13288132</v>
      </c>
      <c r="AA17" s="9">
        <f t="shared" si="6"/>
        <v>-146.27714492000001</v>
      </c>
      <c r="AB17" s="9">
        <f t="shared" si="6"/>
        <v>-116.73437586999998</v>
      </c>
      <c r="AC17" s="9">
        <f t="shared" si="6"/>
        <v>-170.47125767000003</v>
      </c>
      <c r="AD17" s="9">
        <f t="shared" si="6"/>
        <v>-170.79738747000002</v>
      </c>
      <c r="AE17" s="9">
        <f t="shared" si="6"/>
        <v>-152.53082833000002</v>
      </c>
      <c r="AF17" s="9">
        <f t="shared" si="6"/>
        <v>-117.26530571084766</v>
      </c>
      <c r="AG17" s="9">
        <f t="shared" si="6"/>
        <v>-128.9747912</v>
      </c>
      <c r="AH17" s="9">
        <f t="shared" si="6"/>
        <v>-125.15747811000001</v>
      </c>
      <c r="AI17" s="9">
        <f t="shared" si="6"/>
        <v>-117.61759233000001</v>
      </c>
      <c r="AJ17" s="9">
        <f t="shared" si="6"/>
        <v>-103.64530324</v>
      </c>
      <c r="AK17" s="9">
        <f>+SUM(AK18:AK23)</f>
        <v>-145.81400551999999</v>
      </c>
      <c r="AL17" s="9">
        <f>+SUM(AL18:AL23)</f>
        <v>-167.42303975124452</v>
      </c>
      <c r="AM17" s="9">
        <f>+SUM(AM18:AM23)</f>
        <v>-227.4561109914855</v>
      </c>
      <c r="AN17" s="9">
        <f>+SUM(AN18:AN23)</f>
        <v>-152.81074061000007</v>
      </c>
      <c r="AO17" s="9">
        <f>+SUM(AO18:AO23)</f>
        <v>-211.96305361999998</v>
      </c>
    </row>
    <row r="18" spans="1:41" x14ac:dyDescent="0.3">
      <c r="A18" s="1">
        <v>12</v>
      </c>
      <c r="B18" s="5" t="s">
        <v>56</v>
      </c>
      <c r="C18" s="44">
        <f t="shared" ref="C18:C23" si="7">+HLOOKUP($C$7,$H$7:$AP$33,A18,FALSE)</f>
        <v>-30.835691730000001</v>
      </c>
      <c r="D18" s="44">
        <f t="shared" ref="D18:D23" si="8">+HLOOKUP($D$7,$H$7:$AP$33,A18,FALSE)</f>
        <v>-34.999264529999991</v>
      </c>
      <c r="E18" s="36">
        <f t="shared" si="0"/>
        <v>0.13502446568919546</v>
      </c>
      <c r="H18" s="5" t="s">
        <v>56</v>
      </c>
      <c r="I18" s="44">
        <v>-48.867815859999993</v>
      </c>
      <c r="J18" s="44">
        <v>-36.536173910000002</v>
      </c>
      <c r="K18" s="44">
        <v>-36.232333570000002</v>
      </c>
      <c r="L18" s="44">
        <v>-40.281641289999996</v>
      </c>
      <c r="M18" s="44">
        <v>-39.09474281</v>
      </c>
      <c r="N18" s="44">
        <v>-34.689093559999996</v>
      </c>
      <c r="O18" s="44">
        <v>-34.50693442</v>
      </c>
      <c r="P18" s="44">
        <v>-33.299999999999997</v>
      </c>
      <c r="Q18" s="44">
        <v>-34.796432860000003</v>
      </c>
      <c r="R18" s="44">
        <v>-36.290084159999992</v>
      </c>
      <c r="S18" s="44">
        <v>-35.83344452</v>
      </c>
      <c r="T18" s="44">
        <v>-34.904950130000003</v>
      </c>
      <c r="U18" s="44">
        <v>-40.870053159999991</v>
      </c>
      <c r="V18" s="44">
        <v>-36.607482070000003</v>
      </c>
      <c r="W18" s="44">
        <v>-38.842737790000008</v>
      </c>
      <c r="X18" s="44">
        <v>-40.685668849999999</v>
      </c>
      <c r="Y18" s="44">
        <v>-39.213009910000004</v>
      </c>
      <c r="Z18" s="44">
        <v>-31.770287920000001</v>
      </c>
      <c r="AA18" s="44">
        <v>-26.527575679999998</v>
      </c>
      <c r="AB18" s="44">
        <f>+-32.17954707-AB53</f>
        <v>-32.179547069999998</v>
      </c>
      <c r="AC18" s="44">
        <f>+-32.9777754-AC53</f>
        <v>-32.4816121</v>
      </c>
      <c r="AD18" s="44">
        <f>+-34.29679217-AD53</f>
        <v>-33.566455930000004</v>
      </c>
      <c r="AE18" s="44">
        <v>-49.28598399000002</v>
      </c>
      <c r="AF18" s="44">
        <f>+-20.88005158-AF53</f>
        <v>-19.960651899999998</v>
      </c>
      <c r="AG18" s="44">
        <f>+-21.55022939-AG53</f>
        <v>-20.850229389999999</v>
      </c>
      <c r="AH18" s="44">
        <f>+-26.60999613-AH53</f>
        <v>-24.390609949999998</v>
      </c>
      <c r="AI18" s="44">
        <f>+-26.50304141-AI53</f>
        <v>-25.258113340000001</v>
      </c>
      <c r="AJ18" s="44">
        <f>+-38.09702692-AJ53</f>
        <v>-36.941916479999996</v>
      </c>
      <c r="AK18" s="44">
        <f>+-31.25610667-AK53</f>
        <v>-30.835691730000001</v>
      </c>
      <c r="AL18" s="44">
        <f>+-29.58127099-AL53</f>
        <v>-28.252165179999999</v>
      </c>
      <c r="AM18" s="44">
        <v>-22.452493650000001</v>
      </c>
      <c r="AN18" s="44">
        <v>-28.740887379999975</v>
      </c>
      <c r="AO18" s="44">
        <v>-34.999264529999991</v>
      </c>
    </row>
    <row r="19" spans="1:41" x14ac:dyDescent="0.3">
      <c r="A19" s="1">
        <v>13</v>
      </c>
      <c r="B19" s="5" t="s">
        <v>57</v>
      </c>
      <c r="C19" s="44">
        <f t="shared" si="7"/>
        <v>-15.520190899999999</v>
      </c>
      <c r="D19" s="44">
        <f t="shared" si="8"/>
        <v>-28.384416129999998</v>
      </c>
      <c r="E19" s="36">
        <f t="shared" si="0"/>
        <v>0.8288702963054404</v>
      </c>
      <c r="H19" s="5" t="s">
        <v>57</v>
      </c>
      <c r="I19" s="44">
        <v>-18.03067094</v>
      </c>
      <c r="J19" s="44">
        <v>-3.3591411400000002</v>
      </c>
      <c r="K19" s="44">
        <v>-20.369487509999999</v>
      </c>
      <c r="L19" s="44">
        <v>-29.147778030000001</v>
      </c>
      <c r="M19" s="44">
        <v>-4.5187954299999999</v>
      </c>
      <c r="N19" s="44">
        <v>-9.2159443799999998</v>
      </c>
      <c r="O19" s="44">
        <v>-10.38048916</v>
      </c>
      <c r="P19" s="44">
        <v>-16.5</v>
      </c>
      <c r="Q19" s="44">
        <v>-5.5495712899999994</v>
      </c>
      <c r="R19" s="44">
        <v>-6.9293658100000002</v>
      </c>
      <c r="S19" s="44">
        <v>-38.774170070000004</v>
      </c>
      <c r="T19" s="44">
        <v>-34.718472030000001</v>
      </c>
      <c r="U19" s="44">
        <v>-7.4512985600000015</v>
      </c>
      <c r="V19" s="44">
        <v>-8.1270384000000018</v>
      </c>
      <c r="W19" s="44">
        <v>-12.170216480000001</v>
      </c>
      <c r="X19" s="44">
        <v>-15.217228350000001</v>
      </c>
      <c r="Y19" s="44">
        <v>-7.642425229999998</v>
      </c>
      <c r="Z19" s="44">
        <v>-8.2504383900000011</v>
      </c>
      <c r="AA19" s="44">
        <v>-12.82375993</v>
      </c>
      <c r="AB19" s="44">
        <f>+-10.25707385-AB54</f>
        <v>-10.25332315</v>
      </c>
      <c r="AC19" s="44">
        <f>+-2.75986665-AC54</f>
        <v>-2.4879566200000003</v>
      </c>
      <c r="AD19" s="44">
        <f>+-13.18502617-AD54</f>
        <v>-12.817846660000001</v>
      </c>
      <c r="AE19" s="44">
        <v>-30.11858333</v>
      </c>
      <c r="AF19" s="44">
        <f>+-18.77742197-AF54</f>
        <v>-18.427504539999997</v>
      </c>
      <c r="AG19" s="44">
        <f>+-15.50763813-AG54</f>
        <v>-14.207638129999999</v>
      </c>
      <c r="AH19" s="44">
        <f>+-7.04974417-AH54</f>
        <v>-6.5616336200000003</v>
      </c>
      <c r="AI19" s="44">
        <f>+-8.86610442-AI54</f>
        <v>-8.8063862099999994</v>
      </c>
      <c r="AJ19" s="44">
        <f>+-22.67480489-AJ54</f>
        <v>-22.67467628</v>
      </c>
      <c r="AK19" s="44">
        <f>+-15.90505726-AK54</f>
        <v>-15.520190899999999</v>
      </c>
      <c r="AL19" s="44">
        <f>+-13.35912676-AL54</f>
        <v>-12.552627950000002</v>
      </c>
      <c r="AM19" s="44">
        <v>-18.07246731</v>
      </c>
      <c r="AN19" s="44">
        <v>-22.747301230000005</v>
      </c>
      <c r="AO19" s="44">
        <v>-28.384416129999998</v>
      </c>
    </row>
    <row r="20" spans="1:41" x14ac:dyDescent="0.3">
      <c r="A20" s="1">
        <v>14</v>
      </c>
      <c r="B20" s="5" t="s">
        <v>58</v>
      </c>
      <c r="C20" s="44">
        <f t="shared" si="7"/>
        <v>-51.142680729999995</v>
      </c>
      <c r="D20" s="44">
        <f t="shared" si="8"/>
        <v>-97.481601500000011</v>
      </c>
      <c r="E20" s="36">
        <f t="shared" si="0"/>
        <v>0.90607140862715618</v>
      </c>
      <c r="H20" s="5" t="s">
        <v>58</v>
      </c>
      <c r="I20" s="44">
        <v>-143.05921096000003</v>
      </c>
      <c r="J20" s="44">
        <v>-115.28823815000001</v>
      </c>
      <c r="K20" s="44">
        <v>-64.623558400000007</v>
      </c>
      <c r="L20" s="44">
        <v>-18.6760698</v>
      </c>
      <c r="M20" s="44">
        <v>-95.077913459999991</v>
      </c>
      <c r="N20" s="44">
        <v>-96.246866560000015</v>
      </c>
      <c r="O20" s="44">
        <v>-48.765143299999998</v>
      </c>
      <c r="P20" s="44">
        <v>-11.3</v>
      </c>
      <c r="Q20" s="44">
        <v>-55.49246531</v>
      </c>
      <c r="R20" s="44">
        <v>-48.625604530000011</v>
      </c>
      <c r="S20" s="44">
        <v>-29.351692119999996</v>
      </c>
      <c r="T20" s="44">
        <v>-46.499171390000001</v>
      </c>
      <c r="U20" s="44">
        <v>-74.428830290000008</v>
      </c>
      <c r="V20" s="44">
        <v>-74.671550390000007</v>
      </c>
      <c r="W20" s="44">
        <v>-44.972191940000002</v>
      </c>
      <c r="X20" s="44">
        <v>-22.572275439999995</v>
      </c>
      <c r="Y20" s="44">
        <v>-81.834264469999994</v>
      </c>
      <c r="Z20" s="44">
        <v>-91.752166529999982</v>
      </c>
      <c r="AA20" s="44">
        <v>-63.272530880000005</v>
      </c>
      <c r="AB20" s="44">
        <f>+-51.49424782-AB55</f>
        <v>-26.208514819999998</v>
      </c>
      <c r="AC20" s="44">
        <f>+-103.54780074-AC55</f>
        <v>-83.935614360000002</v>
      </c>
      <c r="AD20" s="44">
        <f>+-95.37933399-AD55</f>
        <v>-79.202876680000003</v>
      </c>
      <c r="AE20" s="44">
        <v>-48.18053414000002</v>
      </c>
      <c r="AF20" s="44">
        <f>+-64.13887255-AF55</f>
        <v>-43.382659270000005</v>
      </c>
      <c r="AG20" s="44">
        <f>+-68.50728894-AG55</f>
        <v>-57.407288939999994</v>
      </c>
      <c r="AH20" s="44">
        <f>+-69.67391141-AH55</f>
        <v>-55.093791430000003</v>
      </c>
      <c r="AI20" s="44">
        <f>+-75.50659227-AI55</f>
        <v>-54.870246770000001</v>
      </c>
      <c r="AJ20" s="44">
        <f>+-31.72562505-AJ55</f>
        <v>-12.156151910000002</v>
      </c>
      <c r="AK20" s="44">
        <f>+-66.27092621-AK55</f>
        <v>-51.142680729999995</v>
      </c>
      <c r="AL20" s="44">
        <f>+-94.11752605-AL55</f>
        <v>-76.862570169999998</v>
      </c>
      <c r="AM20" s="44">
        <v>-128.16187044</v>
      </c>
      <c r="AN20" s="44">
        <v>-64.591707400000018</v>
      </c>
      <c r="AO20" s="44">
        <v>-97.481601500000011</v>
      </c>
    </row>
    <row r="21" spans="1:41" x14ac:dyDescent="0.3">
      <c r="A21" s="1">
        <v>15</v>
      </c>
      <c r="B21" s="5" t="s">
        <v>59</v>
      </c>
      <c r="C21" s="44">
        <f t="shared" si="7"/>
        <v>-16.706890779999998</v>
      </c>
      <c r="D21" s="44">
        <f t="shared" si="8"/>
        <v>-7.0593287499999997</v>
      </c>
      <c r="E21" s="49" t="s">
        <v>43</v>
      </c>
      <c r="H21" s="5" t="s">
        <v>59</v>
      </c>
      <c r="I21" s="44">
        <v>-22.91047446</v>
      </c>
      <c r="J21" s="44">
        <v>-43.010705830000006</v>
      </c>
      <c r="K21" s="44">
        <v>-40.598616540000009</v>
      </c>
      <c r="L21" s="44">
        <v>-3.2749097999999996</v>
      </c>
      <c r="M21" s="44">
        <v>-22.496929869999999</v>
      </c>
      <c r="N21" s="44">
        <v>-18.099470910000001</v>
      </c>
      <c r="O21" s="44">
        <v>-1.5190404399999999</v>
      </c>
      <c r="P21" s="44">
        <v>-2</v>
      </c>
      <c r="Q21" s="44">
        <v>-2.0902260800000003</v>
      </c>
      <c r="R21" s="44">
        <v>-23.231005809999996</v>
      </c>
      <c r="S21" s="44">
        <v>-13.097372880000002</v>
      </c>
      <c r="T21" s="44">
        <v>-2.91121008</v>
      </c>
      <c r="U21" s="44">
        <v>-6.969882909999999</v>
      </c>
      <c r="V21" s="44">
        <v>-16.593912970000002</v>
      </c>
      <c r="W21" s="44">
        <v>-4.990396689999999</v>
      </c>
      <c r="X21" s="44">
        <v>-2.59113864</v>
      </c>
      <c r="Y21" s="44">
        <v>-3.0085850299999999</v>
      </c>
      <c r="Z21" s="44">
        <v>-4.8410693299999998</v>
      </c>
      <c r="AA21" s="44">
        <v>-3.6377084799999992</v>
      </c>
      <c r="AB21" s="44">
        <f>+-3.58230685-AB56</f>
        <v>-3.5823068500000002</v>
      </c>
      <c r="AC21" s="44">
        <f>+-9.14473538-AC56</f>
        <v>-9.1447353800000002</v>
      </c>
      <c r="AD21" s="44">
        <v>-2.1464366200000002</v>
      </c>
      <c r="AE21" s="44">
        <v>-0.41594635999999952</v>
      </c>
      <c r="AF21" s="44">
        <f>+-0.974576780847656-AF56</f>
        <v>-0.97457678084765598</v>
      </c>
      <c r="AG21" s="44">
        <v>-4.2986809299999997</v>
      </c>
      <c r="AH21" s="44">
        <f>+-2.94319108-AH56</f>
        <v>-2.9431910800000001</v>
      </c>
      <c r="AI21" s="44">
        <v>-0.41815340000000006</v>
      </c>
      <c r="AJ21" s="44">
        <v>-1.86275127</v>
      </c>
      <c r="AK21" s="44">
        <f>+-16.70689078-AK56</f>
        <v>-16.706890779999998</v>
      </c>
      <c r="AL21" s="44">
        <f>+-7.62363504-AL56</f>
        <v>-7.3473143399999996</v>
      </c>
      <c r="AM21" s="44">
        <v>-18.83520717</v>
      </c>
      <c r="AN21" s="44">
        <v>-6.1802511399999993</v>
      </c>
      <c r="AO21" s="44">
        <v>-7.0593287499999997</v>
      </c>
    </row>
    <row r="22" spans="1:41" x14ac:dyDescent="0.3">
      <c r="A22" s="1">
        <v>16</v>
      </c>
      <c r="B22" s="5" t="s">
        <v>60</v>
      </c>
      <c r="C22" s="44">
        <f t="shared" si="7"/>
        <v>-21.106550949999999</v>
      </c>
      <c r="D22" s="44">
        <f t="shared" si="8"/>
        <v>-31.017013939999998</v>
      </c>
      <c r="E22" s="36">
        <f t="shared" si="0"/>
        <v>0.46954440891253246</v>
      </c>
      <c r="H22" s="5" t="s">
        <v>60</v>
      </c>
      <c r="I22" s="44">
        <v>-23.41590613</v>
      </c>
      <c r="J22" s="44">
        <v>-25.471509249999997</v>
      </c>
      <c r="K22" s="44">
        <v>-24.229548649999998</v>
      </c>
      <c r="L22" s="44">
        <v>-19.288644770000001</v>
      </c>
      <c r="M22" s="44">
        <v>-26.610703540000006</v>
      </c>
      <c r="N22" s="44">
        <v>-22.176684440000002</v>
      </c>
      <c r="O22" s="44">
        <v>-20.448241290000002</v>
      </c>
      <c r="P22" s="44">
        <v>-8.4</v>
      </c>
      <c r="Q22" s="44">
        <v>-18.665973629999996</v>
      </c>
      <c r="R22" s="44">
        <v>-16.86084202</v>
      </c>
      <c r="S22" s="44">
        <v>-18.844166730000001</v>
      </c>
      <c r="T22" s="44">
        <v>-9.0097784399999981</v>
      </c>
      <c r="U22" s="44">
        <v>-18.267814120000004</v>
      </c>
      <c r="V22" s="44">
        <v>-19.587985530000005</v>
      </c>
      <c r="W22" s="44">
        <v>-21.775002570000002</v>
      </c>
      <c r="X22" s="44">
        <v>-14.182322660000001</v>
      </c>
      <c r="Y22" s="44">
        <v>-22.118387720000001</v>
      </c>
      <c r="Z22" s="44">
        <v>-22.376940360000003</v>
      </c>
      <c r="AA22" s="44">
        <v>-23.068639080000001</v>
      </c>
      <c r="AB22" s="44">
        <v>-19.234630080000002</v>
      </c>
      <c r="AC22" s="44">
        <v>-25.951997500000001</v>
      </c>
      <c r="AD22" s="44">
        <v>-25.329593030000002</v>
      </c>
      <c r="AE22" s="44">
        <v>-7.9583244999999962</v>
      </c>
      <c r="AF22" s="44">
        <v>-14.40621734</v>
      </c>
      <c r="AG22" s="44">
        <v>-20.795866490000002</v>
      </c>
      <c r="AH22" s="44">
        <v>-21.183902500000002</v>
      </c>
      <c r="AI22" s="44">
        <v>-17.545652830000002</v>
      </c>
      <c r="AJ22" s="44">
        <f>+-10.82531167-AJ56</f>
        <v>-9.905931429999999</v>
      </c>
      <c r="AK22" s="44">
        <v>-21.106550949999999</v>
      </c>
      <c r="AL22" s="44">
        <v>-25.186136600000005</v>
      </c>
      <c r="AM22" s="44">
        <v>-26.626581519999998</v>
      </c>
      <c r="AN22" s="44">
        <v>-16.740971340000002</v>
      </c>
      <c r="AO22" s="44">
        <v>-31.017013939999998</v>
      </c>
    </row>
    <row r="23" spans="1:41" x14ac:dyDescent="0.3">
      <c r="A23" s="1">
        <v>17</v>
      </c>
      <c r="B23" s="5" t="s">
        <v>86</v>
      </c>
      <c r="C23" s="44">
        <f t="shared" si="7"/>
        <v>-10.502000430000001</v>
      </c>
      <c r="D23" s="44">
        <f t="shared" si="8"/>
        <v>-13.021428770000005</v>
      </c>
      <c r="E23" s="36">
        <f t="shared" si="0"/>
        <v>0.23989985115626244</v>
      </c>
      <c r="H23" s="5" t="s">
        <v>86</v>
      </c>
      <c r="I23" s="44">
        <v>-19.06721697</v>
      </c>
      <c r="J23" s="44">
        <v>-21.910840070000003</v>
      </c>
      <c r="K23" s="44">
        <v>-27.707132019999996</v>
      </c>
      <c r="L23" s="44">
        <v>-38.350595890000008</v>
      </c>
      <c r="M23" s="44">
        <v>-17.36380879</v>
      </c>
      <c r="N23" s="44">
        <v>-20.837634659999999</v>
      </c>
      <c r="O23" s="44">
        <v>-20.404946679999998</v>
      </c>
      <c r="P23" s="44">
        <v>-27.2</v>
      </c>
      <c r="Q23" s="44">
        <v>-16.163761940000001</v>
      </c>
      <c r="R23" s="44">
        <v>-18.221297059999998</v>
      </c>
      <c r="S23" s="44">
        <v>-18.850021900000002</v>
      </c>
      <c r="T23" s="44">
        <v>-14.534520140000001</v>
      </c>
      <c r="U23" s="44">
        <v>-19.276534640000001</v>
      </c>
      <c r="V23" s="44">
        <v>-20.162304949999999</v>
      </c>
      <c r="W23" s="44">
        <v>-24.425988220000001</v>
      </c>
      <c r="X23" s="44">
        <v>-28.84557053</v>
      </c>
      <c r="Y23" s="44">
        <v>-20.02226443</v>
      </c>
      <c r="Z23" s="44">
        <v>-22.141978789999996</v>
      </c>
      <c r="AA23" s="44">
        <v>-16.946930869999999</v>
      </c>
      <c r="AB23" s="44">
        <f>+-28.76885844-AB57</f>
        <v>-25.276053900000001</v>
      </c>
      <c r="AC23" s="44">
        <f>+-19.58196495-AC57</f>
        <v>-16.469341709999998</v>
      </c>
      <c r="AD23" s="44">
        <f>+-21.03649055-AD57</f>
        <v>-17.734178549999999</v>
      </c>
      <c r="AE23" s="44">
        <v>-16.571456010000002</v>
      </c>
      <c r="AF23" s="44">
        <f>+-23.46560624-AF57</f>
        <v>-20.113695880000002</v>
      </c>
      <c r="AG23" s="44">
        <f>+-13.36357333-AG57</f>
        <v>-11.41508732</v>
      </c>
      <c r="AH23" s="44">
        <f>+-17.51902408-AH57</f>
        <v>-14.984349530000001</v>
      </c>
      <c r="AI23" s="44">
        <f>+-12.96304668-AI57</f>
        <v>-10.719039779999999</v>
      </c>
      <c r="AJ23" s="44">
        <f>+-24.00240708-AJ57</f>
        <v>-20.103875870000003</v>
      </c>
      <c r="AK23" s="44">
        <f>+-12.00200043-AK57</f>
        <v>-10.502000430000001</v>
      </c>
      <c r="AL23" s="44">
        <f>+-19.6344931912445-AL57</f>
        <v>-17.222225511244503</v>
      </c>
      <c r="AM23" s="44">
        <v>-13.307490901485496</v>
      </c>
      <c r="AN23" s="44">
        <v>-13.80962212000005</v>
      </c>
      <c r="AO23" s="44">
        <v>-13.021428770000005</v>
      </c>
    </row>
    <row r="24" spans="1:41" x14ac:dyDescent="0.3">
      <c r="A24" s="1">
        <v>18</v>
      </c>
      <c r="C24" s="33"/>
      <c r="D24" s="33"/>
      <c r="E24" s="40"/>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row>
    <row r="25" spans="1:41" x14ac:dyDescent="0.3">
      <c r="A25" s="1">
        <v>19</v>
      </c>
      <c r="B25" s="2" t="s">
        <v>87</v>
      </c>
      <c r="C25" s="9">
        <f>C17+C10</f>
        <v>151.8117141594561</v>
      </c>
      <c r="D25" s="9">
        <f>D17+D10</f>
        <v>149.74889408738284</v>
      </c>
      <c r="E25" s="38">
        <f t="shared" si="0"/>
        <v>-1.358801646825869E-2</v>
      </c>
      <c r="H25" s="2" t="s">
        <v>87</v>
      </c>
      <c r="I25" s="9">
        <f t="shared" ref="I25:AE25" si="9">I17+I10</f>
        <v>137.89374637000003</v>
      </c>
      <c r="J25" s="9">
        <f t="shared" si="9"/>
        <v>162.44525369000002</v>
      </c>
      <c r="K25" s="9">
        <f t="shared" si="9"/>
        <v>137.48338611999998</v>
      </c>
      <c r="L25" s="9">
        <f t="shared" si="9"/>
        <v>181.04590640999999</v>
      </c>
      <c r="M25" s="9">
        <f t="shared" si="9"/>
        <v>111.84702719000003</v>
      </c>
      <c r="N25" s="9">
        <f t="shared" si="9"/>
        <v>157.19356322000004</v>
      </c>
      <c r="O25" s="9">
        <f t="shared" si="9"/>
        <v>200.96953452999998</v>
      </c>
      <c r="P25" s="9">
        <f t="shared" si="9"/>
        <v>196.5</v>
      </c>
      <c r="Q25" s="9">
        <f t="shared" si="9"/>
        <v>174.20261859999999</v>
      </c>
      <c r="R25" s="9">
        <f t="shared" si="9"/>
        <v>165.02881524999998</v>
      </c>
      <c r="S25" s="9">
        <f t="shared" si="9"/>
        <v>130.51520865999996</v>
      </c>
      <c r="T25" s="9">
        <f t="shared" si="9"/>
        <v>169.52104676999997</v>
      </c>
      <c r="U25" s="9">
        <f t="shared" si="9"/>
        <v>167.14281708999997</v>
      </c>
      <c r="V25" s="9">
        <f t="shared" si="9"/>
        <v>170.80365676000002</v>
      </c>
      <c r="W25" s="9">
        <f t="shared" si="9"/>
        <v>185.34389436999996</v>
      </c>
      <c r="X25" s="9">
        <f t="shared" si="9"/>
        <v>217.99880021000004</v>
      </c>
      <c r="Y25" s="9">
        <f t="shared" si="9"/>
        <v>180.10621122000003</v>
      </c>
      <c r="Z25" s="9">
        <f t="shared" si="9"/>
        <v>167.37775774000008</v>
      </c>
      <c r="AA25" s="9">
        <f t="shared" si="9"/>
        <v>173.78870720000003</v>
      </c>
      <c r="AB25" s="9">
        <f t="shared" si="9"/>
        <v>230.59628267000002</v>
      </c>
      <c r="AC25" s="9">
        <f t="shared" si="9"/>
        <v>170.62513011000001</v>
      </c>
      <c r="AD25" s="9">
        <f t="shared" si="9"/>
        <v>178.36596232000002</v>
      </c>
      <c r="AE25" s="9">
        <f t="shared" si="9"/>
        <v>183.58786783000005</v>
      </c>
      <c r="AF25" s="9">
        <f t="shared" ref="AF25:AJ25" si="10">AF17+AF10</f>
        <v>187.48957726131368</v>
      </c>
      <c r="AG25" s="9">
        <f t="shared" si="10"/>
        <v>175.95360103000004</v>
      </c>
      <c r="AH25" s="9">
        <f t="shared" si="10"/>
        <v>166.56677347999999</v>
      </c>
      <c r="AI25" s="9">
        <f t="shared" si="10"/>
        <v>183.49524977999997</v>
      </c>
      <c r="AJ25" s="9">
        <f t="shared" si="10"/>
        <v>188.01667729907101</v>
      </c>
      <c r="AK25" s="9">
        <f>AK17+AK10</f>
        <v>151.8117141594561</v>
      </c>
      <c r="AL25" s="9">
        <f>AL17+AL10</f>
        <v>164.88021019419762</v>
      </c>
      <c r="AM25" s="9">
        <f>AM17+AM10</f>
        <v>80.644099838197235</v>
      </c>
      <c r="AN25" s="9">
        <v>177.22567208228426</v>
      </c>
      <c r="AO25" s="9">
        <v>149.74889408738284</v>
      </c>
    </row>
    <row r="26" spans="1:41" x14ac:dyDescent="0.3">
      <c r="A26" s="1">
        <v>20</v>
      </c>
      <c r="C26" s="33"/>
      <c r="D26" s="33"/>
      <c r="E26" s="40"/>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row>
    <row r="27" spans="1:41" x14ac:dyDescent="0.3">
      <c r="A27" s="1">
        <v>21</v>
      </c>
      <c r="B27" s="5" t="s">
        <v>63</v>
      </c>
      <c r="C27" s="44">
        <f>+HLOOKUP($C$7,$H$7:$AP$33,A27,FALSE)</f>
        <v>-19.428022205786199</v>
      </c>
      <c r="D27" s="44">
        <f t="shared" ref="D27:D29" si="11">+HLOOKUP($D$7,$H$7:$AP$33,A27,FALSE)</f>
        <v>-17.634083860105498</v>
      </c>
      <c r="E27" s="36">
        <f t="shared" si="0"/>
        <v>-9.2337672187054465E-2</v>
      </c>
      <c r="H27" s="5" t="s">
        <v>63</v>
      </c>
      <c r="I27" s="44">
        <v>-13.511288560000001</v>
      </c>
      <c r="J27" s="44">
        <v>-15.730694790000001</v>
      </c>
      <c r="K27" s="44">
        <v>-14.94375202</v>
      </c>
      <c r="L27" s="44">
        <v>-15.521342820000001</v>
      </c>
      <c r="M27" s="44">
        <v>-13.954037509999999</v>
      </c>
      <c r="N27" s="44">
        <v>-14.80528035</v>
      </c>
      <c r="O27" s="44">
        <v>-13.73918705</v>
      </c>
      <c r="P27" s="44">
        <v>-13.4</v>
      </c>
      <c r="Q27" s="44">
        <v>-14.19469086</v>
      </c>
      <c r="R27" s="44">
        <v>-15.02867498</v>
      </c>
      <c r="S27" s="44">
        <v>-16.110477190000001</v>
      </c>
      <c r="T27" s="44">
        <v>-16.584576090000002</v>
      </c>
      <c r="U27" s="44">
        <v>-15.693575970000001</v>
      </c>
      <c r="V27" s="44">
        <v>-16.256828450000004</v>
      </c>
      <c r="W27" s="44">
        <v>-17.746854899999999</v>
      </c>
      <c r="X27" s="44">
        <v>-21.240113520000001</v>
      </c>
      <c r="Y27" s="44">
        <v>-19.39190297</v>
      </c>
      <c r="Z27" s="44">
        <v>-18.475289360000001</v>
      </c>
      <c r="AA27" s="44">
        <v>-17.7550566</v>
      </c>
      <c r="AB27" s="44">
        <f>+-19.52008206-AB61</f>
        <v>-18.015688310000002</v>
      </c>
      <c r="AC27" s="44">
        <f>+-18.14563445-AC61</f>
        <v>-16.681628180000001</v>
      </c>
      <c r="AD27" s="44">
        <v>-17.086857370000001</v>
      </c>
      <c r="AE27" s="44">
        <v>-16.935537579999995</v>
      </c>
      <c r="AF27" s="44">
        <v>-17.459000799999998</v>
      </c>
      <c r="AG27" s="44">
        <f>+-15.10311077-AG61</f>
        <v>-13.503110770000001</v>
      </c>
      <c r="AH27" s="44">
        <f>+-15.96317607-AH61</f>
        <v>-14.437053499999999</v>
      </c>
      <c r="AI27" s="44">
        <f>+-16.54621755-AI61</f>
        <v>-15.012555730000001</v>
      </c>
      <c r="AJ27" s="44">
        <f>+-17.7444132051426-AJ61</f>
        <v>-16.2179583251426</v>
      </c>
      <c r="AK27" s="44">
        <f>+-21.2684943257862-AK61</f>
        <v>-19.428022205786199</v>
      </c>
      <c r="AL27" s="44">
        <f>+-21.5443199442137-AL61</f>
        <v>-20.045353354213699</v>
      </c>
      <c r="AM27" s="44">
        <f>+-19.2992554288968-AM61</f>
        <v>-17.735888498896799</v>
      </c>
      <c r="AN27" s="44">
        <v>-16.079637595259822</v>
      </c>
      <c r="AO27" s="44">
        <v>-17.634083860105498</v>
      </c>
    </row>
    <row r="28" spans="1:41" x14ac:dyDescent="0.3">
      <c r="A28" s="1">
        <v>22</v>
      </c>
      <c r="B28" s="5" t="s">
        <v>88</v>
      </c>
      <c r="C28" s="44">
        <f t="shared" ref="C28:C29" si="12">+HLOOKUP($C$7,$H$7:$AP$33,A28,FALSE)</f>
        <v>-11.9634325012444</v>
      </c>
      <c r="D28" s="44">
        <f t="shared" si="11"/>
        <v>-11.531036829999994</v>
      </c>
      <c r="E28" s="36">
        <f t="shared" si="0"/>
        <v>-3.6143111201524247E-2</v>
      </c>
      <c r="H28" s="5" t="s">
        <v>88</v>
      </c>
      <c r="I28" s="44">
        <v>-4.6297593400000006</v>
      </c>
      <c r="J28" s="44">
        <v>-5.884523660000001</v>
      </c>
      <c r="K28" s="44">
        <v>-5.5682920600000001</v>
      </c>
      <c r="L28" s="44">
        <v>-6.5220293500000004</v>
      </c>
      <c r="M28" s="44">
        <v>-5.1150877699999997</v>
      </c>
      <c r="N28" s="44">
        <v>-6.0219605700000001</v>
      </c>
      <c r="O28" s="44">
        <v>-6.3402090600000003</v>
      </c>
      <c r="P28" s="44">
        <v>-11</v>
      </c>
      <c r="Q28" s="44">
        <v>-6.5020823799999965</v>
      </c>
      <c r="R28" s="44">
        <v>-8.009772479999997</v>
      </c>
      <c r="S28" s="44">
        <v>-7.9525749999999995</v>
      </c>
      <c r="T28" s="44">
        <v>-9.1727891499999981</v>
      </c>
      <c r="U28" s="44">
        <v>-8.0615386299999994</v>
      </c>
      <c r="V28" s="44">
        <v>-6.9816923099999997</v>
      </c>
      <c r="W28" s="44">
        <v>-7.0422980900000001</v>
      </c>
      <c r="X28" s="44">
        <v>-9.7220474300000017</v>
      </c>
      <c r="Y28" s="44">
        <v>-7.0583630999999993</v>
      </c>
      <c r="Z28" s="44">
        <v>-7.2230401099999986</v>
      </c>
      <c r="AA28" s="44">
        <v>-7.0517470699999993</v>
      </c>
      <c r="AB28" s="44">
        <f>+-10.4942574-AB62</f>
        <v>-9.1196006500000006</v>
      </c>
      <c r="AC28" s="44">
        <f>+-5.57047109-AC62</f>
        <v>-5.0442705099999996</v>
      </c>
      <c r="AD28" s="44">
        <v>-5.9828553699999993</v>
      </c>
      <c r="AE28" s="44">
        <v>-3.9182373899999976</v>
      </c>
      <c r="AF28" s="44">
        <v>-6.08522447</v>
      </c>
      <c r="AG28" s="44">
        <f>+-11.13666763-AG62</f>
        <v>-9.6851536399999993</v>
      </c>
      <c r="AH28" s="44">
        <f>+-10.3069637-AH62</f>
        <v>-10.39199872</v>
      </c>
      <c r="AI28" s="44">
        <f>+-10.66756838-AI62</f>
        <v>-9.15303383</v>
      </c>
      <c r="AJ28" s="44">
        <f>+-8.86662309606035-AJ62</f>
        <v>-8.1298155560603504</v>
      </c>
      <c r="AK28" s="44">
        <f>+-13.7149330412444-AK62</f>
        <v>-11.9634325012444</v>
      </c>
      <c r="AL28" s="44">
        <f>+-14.3817598902411-AL62</f>
        <v>-12.549477400241095</v>
      </c>
      <c r="AM28" s="44">
        <f>+-12.6791239312444-AM62</f>
        <v>-10.935863541244405</v>
      </c>
      <c r="AN28" s="44">
        <v>-15.05374818999994</v>
      </c>
      <c r="AO28" s="44">
        <v>-11.531036829999994</v>
      </c>
    </row>
    <row r="29" spans="1:41" x14ac:dyDescent="0.3">
      <c r="A29" s="1">
        <v>23</v>
      </c>
      <c r="B29" s="5" t="s">
        <v>65</v>
      </c>
      <c r="C29" s="44">
        <f t="shared" si="12"/>
        <v>-46.478154362953397</v>
      </c>
      <c r="D29" s="44">
        <f t="shared" si="11"/>
        <v>-43.999264936535113</v>
      </c>
      <c r="E29" s="36">
        <f t="shared" si="0"/>
        <v>-5.3334506509452706E-2</v>
      </c>
      <c r="H29" s="5" t="s">
        <v>65</v>
      </c>
      <c r="I29" s="44">
        <v>-41.951805570000005</v>
      </c>
      <c r="J29" s="44">
        <v>-46.185509760000002</v>
      </c>
      <c r="K29" s="44">
        <v>-46.341475529999997</v>
      </c>
      <c r="L29" s="44">
        <v>-47.895657579999998</v>
      </c>
      <c r="M29" s="44">
        <v>-47.45246057</v>
      </c>
      <c r="N29" s="44">
        <v>-48.384940369999995</v>
      </c>
      <c r="O29" s="44">
        <v>-48.861872340000005</v>
      </c>
      <c r="P29" s="44">
        <v>-49</v>
      </c>
      <c r="Q29" s="44">
        <v>-47.859028649999999</v>
      </c>
      <c r="R29" s="44">
        <v>-47.103709719999998</v>
      </c>
      <c r="S29" s="44">
        <v>-49.023684110000005</v>
      </c>
      <c r="T29" s="44">
        <v>-52.043309690000001</v>
      </c>
      <c r="U29" s="44">
        <v>-51.537491310000007</v>
      </c>
      <c r="V29" s="44">
        <v>-52.338320930000002</v>
      </c>
      <c r="W29" s="44">
        <v>-51.70911498000001</v>
      </c>
      <c r="X29" s="44">
        <v>-35.670721700000001</v>
      </c>
      <c r="Y29" s="44">
        <v>-50.468340229999995</v>
      </c>
      <c r="Z29" s="44">
        <v>-50.577710360000012</v>
      </c>
      <c r="AA29" s="44">
        <v>-51.21465688</v>
      </c>
      <c r="AB29" s="44">
        <f>+-60.0190398-AB63</f>
        <v>-51.431602030000001</v>
      </c>
      <c r="AC29" s="44">
        <f>+-62.31854023-AC63</f>
        <v>-51.456948539999999</v>
      </c>
      <c r="AD29" s="44">
        <v>-52.281024099999996</v>
      </c>
      <c r="AE29" s="44">
        <v>-52.09153554000001</v>
      </c>
      <c r="AF29" s="44">
        <v>-48.783084410000029</v>
      </c>
      <c r="AG29" s="44">
        <f>+-60.57309273-AG63</f>
        <v>-49.373092729999996</v>
      </c>
      <c r="AH29" s="44">
        <f>+-60.98348462-AH63</f>
        <v>-49.504984109999995</v>
      </c>
      <c r="AI29" s="44">
        <f>+-62.10269554-AI63</f>
        <v>-49.919730049999998</v>
      </c>
      <c r="AJ29" s="44">
        <f>+-62.95540184-AJ63</f>
        <v>-51.263780879999999</v>
      </c>
      <c r="AK29" s="44">
        <f>+-55.4260933129534-AK63</f>
        <v>-46.478154362953397</v>
      </c>
      <c r="AL29" s="44">
        <f>+-52.1342169370466-AL63</f>
        <v>-43.349546447046599</v>
      </c>
      <c r="AM29" s="44">
        <f>+-58.9511341537851-AM63</f>
        <v>-50.170863743785098</v>
      </c>
      <c r="AN29" s="44">
        <v>-43.716920891246126</v>
      </c>
      <c r="AO29" s="44">
        <v>-43.999264936535113</v>
      </c>
    </row>
    <row r="30" spans="1:41" x14ac:dyDescent="0.3">
      <c r="A30" s="1">
        <v>24</v>
      </c>
      <c r="C30" s="33"/>
      <c r="D30" s="33"/>
      <c r="E30" s="40"/>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row>
    <row r="31" spans="1:41" x14ac:dyDescent="0.3">
      <c r="A31" s="1">
        <v>25</v>
      </c>
      <c r="B31" s="2" t="s">
        <v>89</v>
      </c>
      <c r="C31" s="9">
        <f>C25+C27+C28+C29</f>
        <v>73.942105089472108</v>
      </c>
      <c r="D31" s="9">
        <f t="shared" ref="D31" si="13">D25+D27+D28+D29</f>
        <v>76.584508460742228</v>
      </c>
      <c r="E31" s="38">
        <f t="shared" si="0"/>
        <v>3.5736112301275824E-2</v>
      </c>
      <c r="H31" s="2" t="s">
        <v>89</v>
      </c>
      <c r="I31" s="9">
        <f t="shared" ref="I31:AE31" si="14">I25+I27+I28+I29</f>
        <v>77.800892900000022</v>
      </c>
      <c r="J31" s="9">
        <f t="shared" si="14"/>
        <v>94.644525479999999</v>
      </c>
      <c r="K31" s="9">
        <f t="shared" si="14"/>
        <v>70.629866509999971</v>
      </c>
      <c r="L31" s="9">
        <f t="shared" si="14"/>
        <v>111.10687665999998</v>
      </c>
      <c r="M31" s="9">
        <f t="shared" si="14"/>
        <v>45.325441340000026</v>
      </c>
      <c r="N31" s="9">
        <f t="shared" si="14"/>
        <v>87.98138193000004</v>
      </c>
      <c r="O31" s="9">
        <f t="shared" si="14"/>
        <v>132.02826607999998</v>
      </c>
      <c r="P31" s="9">
        <f t="shared" si="14"/>
        <v>123.1</v>
      </c>
      <c r="Q31" s="9">
        <f t="shared" si="14"/>
        <v>105.64681671</v>
      </c>
      <c r="R31" s="9">
        <f t="shared" si="14"/>
        <v>94.886658069999967</v>
      </c>
      <c r="S31" s="9">
        <f t="shared" si="14"/>
        <v>57.428472359999958</v>
      </c>
      <c r="T31" s="9">
        <f t="shared" si="14"/>
        <v>91.720371839999956</v>
      </c>
      <c r="U31" s="9">
        <f t="shared" si="14"/>
        <v>91.850211179999945</v>
      </c>
      <c r="V31" s="9">
        <f t="shared" si="14"/>
        <v>95.226815070000015</v>
      </c>
      <c r="W31" s="9">
        <f t="shared" si="14"/>
        <v>108.84562639999996</v>
      </c>
      <c r="X31" s="9">
        <f t="shared" si="14"/>
        <v>151.36591756000004</v>
      </c>
      <c r="Y31" s="9">
        <f t="shared" si="14"/>
        <v>103.18760492000004</v>
      </c>
      <c r="Z31" s="9">
        <f t="shared" si="14"/>
        <v>91.101717910000062</v>
      </c>
      <c r="AA31" s="9">
        <f t="shared" si="14"/>
        <v>97.767246650000033</v>
      </c>
      <c r="AB31" s="9">
        <f t="shared" si="14"/>
        <v>152.02939168000003</v>
      </c>
      <c r="AC31" s="9">
        <f t="shared" si="14"/>
        <v>97.442282880000036</v>
      </c>
      <c r="AD31" s="9">
        <f t="shared" si="14"/>
        <v>103.01522548000003</v>
      </c>
      <c r="AE31" s="9">
        <f t="shared" si="14"/>
        <v>110.64255732000005</v>
      </c>
      <c r="AF31" s="9">
        <f>AF25+AF27+AF28+AF29</f>
        <v>115.16226758131363</v>
      </c>
      <c r="AG31" s="9">
        <f t="shared" ref="AG31:AM31" si="15">AG25+AG27+AG28+AG29</f>
        <v>103.39224389000003</v>
      </c>
      <c r="AH31" s="9">
        <f t="shared" si="15"/>
        <v>92.232737150000005</v>
      </c>
      <c r="AI31" s="9">
        <f t="shared" si="15"/>
        <v>109.40993016999997</v>
      </c>
      <c r="AJ31" s="9">
        <f t="shared" si="15"/>
        <v>112.40512253786805</v>
      </c>
      <c r="AK31" s="9">
        <f t="shared" si="15"/>
        <v>73.942105089472108</v>
      </c>
      <c r="AL31" s="9">
        <f t="shared" si="15"/>
        <v>88.93583299269622</v>
      </c>
      <c r="AM31" s="9">
        <f t="shared" si="15"/>
        <v>1.8014840542709365</v>
      </c>
      <c r="AN31" s="9">
        <f>AN25+AN27+AN28+AN29</f>
        <v>102.37536540577838</v>
      </c>
      <c r="AO31" s="9">
        <f>AO25+AO27+AO28+AO29</f>
        <v>76.584508460742228</v>
      </c>
    </row>
    <row r="32" spans="1:41" x14ac:dyDescent="0.3">
      <c r="A32" s="1">
        <v>26</v>
      </c>
      <c r="B32" s="41"/>
      <c r="C32" s="42"/>
      <c r="D32" s="42"/>
      <c r="E32" s="43"/>
      <c r="H32" s="41"/>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row>
    <row r="33" spans="1:42" x14ac:dyDescent="0.3">
      <c r="A33" s="1">
        <v>27</v>
      </c>
      <c r="B33" s="2" t="s">
        <v>67</v>
      </c>
      <c r="C33" s="9">
        <f>C31-C29</f>
        <v>120.42025945242551</v>
      </c>
      <c r="D33" s="9">
        <f>D31-D29</f>
        <v>120.58377339727734</v>
      </c>
      <c r="E33" s="38">
        <f t="shared" si="0"/>
        <v>1.3578607586077762E-3</v>
      </c>
      <c r="F33" s="86"/>
      <c r="H33" s="2" t="s">
        <v>67</v>
      </c>
      <c r="I33" s="9">
        <f t="shared" ref="I33:AE33" si="16">I31-I29</f>
        <v>119.75269847000003</v>
      </c>
      <c r="J33" s="9">
        <f t="shared" si="16"/>
        <v>140.83003524</v>
      </c>
      <c r="K33" s="9">
        <f t="shared" si="16"/>
        <v>116.97134203999997</v>
      </c>
      <c r="L33" s="9">
        <f t="shared" si="16"/>
        <v>159.00253423999999</v>
      </c>
      <c r="M33" s="9">
        <f t="shared" si="16"/>
        <v>92.777901910000026</v>
      </c>
      <c r="N33" s="9">
        <f t="shared" si="16"/>
        <v>136.36632230000004</v>
      </c>
      <c r="O33" s="9">
        <f t="shared" si="16"/>
        <v>180.89013841999997</v>
      </c>
      <c r="P33" s="9">
        <f t="shared" si="16"/>
        <v>172.1</v>
      </c>
      <c r="Q33" s="9">
        <f t="shared" si="16"/>
        <v>153.50584536</v>
      </c>
      <c r="R33" s="9">
        <f t="shared" si="16"/>
        <v>141.99036778999996</v>
      </c>
      <c r="S33" s="9">
        <f t="shared" si="16"/>
        <v>106.45215646999996</v>
      </c>
      <c r="T33" s="9">
        <f t="shared" si="16"/>
        <v>143.76368152999996</v>
      </c>
      <c r="U33" s="9">
        <f t="shared" si="16"/>
        <v>143.38770248999995</v>
      </c>
      <c r="V33" s="9">
        <f t="shared" si="16"/>
        <v>147.56513600000002</v>
      </c>
      <c r="W33" s="9">
        <f t="shared" si="16"/>
        <v>160.55474137999997</v>
      </c>
      <c r="X33" s="9">
        <f t="shared" si="16"/>
        <v>187.03663926000004</v>
      </c>
      <c r="Y33" s="9">
        <f t="shared" si="16"/>
        <v>153.65594515000004</v>
      </c>
      <c r="Z33" s="9">
        <f t="shared" si="16"/>
        <v>141.67942827000007</v>
      </c>
      <c r="AA33" s="9">
        <f t="shared" si="16"/>
        <v>148.98190353000004</v>
      </c>
      <c r="AB33" s="9">
        <f t="shared" si="16"/>
        <v>203.46099371000003</v>
      </c>
      <c r="AC33" s="9">
        <f t="shared" si="16"/>
        <v>148.89923142000004</v>
      </c>
      <c r="AD33" s="9">
        <f t="shared" si="16"/>
        <v>155.29624958000002</v>
      </c>
      <c r="AE33" s="9">
        <f t="shared" si="16"/>
        <v>162.73409286000006</v>
      </c>
      <c r="AF33" s="9">
        <f>AF31-AF29</f>
        <v>163.94535199131366</v>
      </c>
      <c r="AG33" s="9">
        <f>172.34723633-AG67</f>
        <v>152.76533661999997</v>
      </c>
      <c r="AH33" s="9">
        <f>155.26443032-AH67</f>
        <v>141.73772126</v>
      </c>
      <c r="AI33" s="9">
        <f>174.98602269-AI67</f>
        <v>159.32966021999999</v>
      </c>
      <c r="AJ33" s="9">
        <f>AJ31-AJ29</f>
        <v>163.66890341786805</v>
      </c>
      <c r="AK33" s="9">
        <f>137.354311322426-AK67</f>
        <v>120.42025945242602</v>
      </c>
      <c r="AL33" s="9">
        <f>146.649248797271-AL67</f>
        <v>132.19407894727101</v>
      </c>
      <c r="AM33" s="9">
        <f>146.649248797271-AM67</f>
        <v>126.78651550727102</v>
      </c>
      <c r="AN33" s="9">
        <v>146.09228629702451</v>
      </c>
      <c r="AO33" s="9">
        <v>146.09228629702451</v>
      </c>
    </row>
    <row r="35" spans="1:42" x14ac:dyDescent="0.3">
      <c r="B35" s="106" t="s">
        <v>147</v>
      </c>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row>
    <row r="36" spans="1:42" x14ac:dyDescent="0.3">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row>
    <row r="37" spans="1:42" ht="28.5" customHeight="1" x14ac:dyDescent="0.3">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row>
    <row r="38" spans="1:42" ht="28.5" customHeight="1" x14ac:dyDescent="0.3">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row>
    <row r="39" spans="1:42" ht="28.5" customHeight="1" x14ac:dyDescent="0.3"/>
    <row r="40" spans="1:42" ht="23.25" x14ac:dyDescent="0.35">
      <c r="B40" s="12" t="s">
        <v>45</v>
      </c>
      <c r="C40" s="13"/>
      <c r="D40" s="13"/>
      <c r="E40" s="13"/>
      <c r="H40" s="12" t="s">
        <v>45</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row>
    <row r="41" spans="1:42" ht="9" customHeight="1" x14ac:dyDescent="0.3"/>
    <row r="42" spans="1:42" x14ac:dyDescent="0.3">
      <c r="A42" s="1">
        <v>1</v>
      </c>
      <c r="B42" s="3" t="s">
        <v>81</v>
      </c>
      <c r="C42" s="102" t="s">
        <v>138</v>
      </c>
      <c r="D42" s="102" t="s">
        <v>148</v>
      </c>
      <c r="E42" s="102" t="s">
        <v>80</v>
      </c>
      <c r="H42" s="3" t="s">
        <v>79</v>
      </c>
      <c r="I42" s="102" t="s">
        <v>6</v>
      </c>
      <c r="J42" s="102" t="s">
        <v>7</v>
      </c>
      <c r="K42" s="102" t="s">
        <v>8</v>
      </c>
      <c r="L42" s="102" t="s">
        <v>9</v>
      </c>
      <c r="M42" s="102" t="s">
        <v>10</v>
      </c>
      <c r="N42" s="102" t="s">
        <v>11</v>
      </c>
      <c r="O42" s="102" t="s">
        <v>12</v>
      </c>
      <c r="P42" s="102" t="s">
        <v>13</v>
      </c>
      <c r="Q42" s="102" t="s">
        <v>14</v>
      </c>
      <c r="R42" s="102" t="s">
        <v>15</v>
      </c>
      <c r="S42" s="102" t="s">
        <v>16</v>
      </c>
      <c r="T42" s="102" t="s">
        <v>17</v>
      </c>
      <c r="U42" s="102" t="s">
        <v>18</v>
      </c>
      <c r="V42" s="102" t="s">
        <v>19</v>
      </c>
      <c r="W42" s="102" t="s">
        <v>20</v>
      </c>
      <c r="X42" s="102" t="s">
        <v>21</v>
      </c>
      <c r="Y42" s="102" t="s">
        <v>22</v>
      </c>
      <c r="Z42" s="102" t="s">
        <v>23</v>
      </c>
      <c r="AA42" s="102" t="s">
        <v>24</v>
      </c>
      <c r="AB42" s="102" t="s">
        <v>2</v>
      </c>
      <c r="AC42" s="102" t="s">
        <v>25</v>
      </c>
      <c r="AD42" s="102" t="s">
        <v>50</v>
      </c>
      <c r="AE42" s="102" t="s">
        <v>90</v>
      </c>
      <c r="AF42" s="102" t="s">
        <v>137</v>
      </c>
      <c r="AG42" s="102" t="s">
        <v>124</v>
      </c>
      <c r="AH42" s="102" t="s">
        <v>126</v>
      </c>
      <c r="AI42" s="102" t="s">
        <v>135</v>
      </c>
      <c r="AJ42" s="102" t="s">
        <v>136</v>
      </c>
      <c r="AK42" s="102" t="s">
        <v>138</v>
      </c>
      <c r="AL42" s="102" t="s">
        <v>139</v>
      </c>
      <c r="AM42" s="102" t="s">
        <v>140</v>
      </c>
      <c r="AN42" s="102" t="s">
        <v>144</v>
      </c>
      <c r="AO42" s="102" t="s">
        <v>148</v>
      </c>
    </row>
    <row r="43" spans="1:42" x14ac:dyDescent="0.3">
      <c r="A43" s="1">
        <v>2</v>
      </c>
      <c r="B43" s="3" t="s">
        <v>51</v>
      </c>
      <c r="C43" s="102"/>
      <c r="D43" s="102" t="s">
        <v>25</v>
      </c>
      <c r="E43" s="102"/>
      <c r="H43" s="3" t="s">
        <v>51</v>
      </c>
      <c r="I43" s="102"/>
      <c r="J43" s="102"/>
      <c r="K43" s="102"/>
      <c r="L43" s="102"/>
      <c r="M43" s="102"/>
      <c r="N43" s="102"/>
      <c r="O43" s="102"/>
      <c r="P43" s="102"/>
      <c r="Q43" s="102"/>
      <c r="R43" s="102"/>
      <c r="S43" s="102"/>
      <c r="T43" s="102"/>
      <c r="U43" s="102"/>
      <c r="V43" s="102"/>
      <c r="W43" s="102"/>
      <c r="X43" s="102"/>
      <c r="Y43" s="102"/>
      <c r="Z43" s="102"/>
      <c r="AA43" s="102"/>
      <c r="AB43" s="102"/>
      <c r="AC43" s="102" t="s">
        <v>25</v>
      </c>
      <c r="AD43" s="102" t="s">
        <v>25</v>
      </c>
      <c r="AE43" s="102" t="s">
        <v>25</v>
      </c>
      <c r="AF43" s="102" t="s">
        <v>25</v>
      </c>
      <c r="AG43" s="102"/>
      <c r="AH43" s="102"/>
      <c r="AI43" s="102"/>
      <c r="AJ43" s="102" t="s">
        <v>25</v>
      </c>
      <c r="AK43" s="102"/>
      <c r="AL43" s="102"/>
      <c r="AM43" s="102"/>
      <c r="AN43" s="102"/>
      <c r="AO43" s="102"/>
    </row>
    <row r="44" spans="1:42" ht="6.75" customHeight="1" x14ac:dyDescent="0.3">
      <c r="A44" s="1">
        <v>3</v>
      </c>
    </row>
    <row r="45" spans="1:42" x14ac:dyDescent="0.3">
      <c r="A45" s="1">
        <v>4</v>
      </c>
      <c r="B45" s="2" t="s">
        <v>81</v>
      </c>
      <c r="C45" s="9">
        <f t="shared" ref="C45:C67" si="17">+HLOOKUP($C$42,$H$42:$AP$67,A45,FALSE)</f>
        <v>37.959551309999995</v>
      </c>
      <c r="D45" s="9">
        <f t="shared" ref="D45:D67" si="18">+HLOOKUP($D$42,$H$42:$AP$67,A45,FALSE)</f>
        <v>55.119108129999994</v>
      </c>
      <c r="E45" s="38">
        <f>D45/C45-1</f>
        <v>0.45204846284575328</v>
      </c>
      <c r="H45" s="2" t="s">
        <v>81</v>
      </c>
      <c r="I45" s="32"/>
      <c r="J45" s="32"/>
      <c r="K45" s="32"/>
      <c r="L45" s="32"/>
      <c r="M45" s="32"/>
      <c r="N45" s="32"/>
      <c r="O45" s="32"/>
      <c r="P45" s="32"/>
      <c r="Q45" s="9">
        <f t="shared" ref="Q45:X45" si="19">SUM(Q46:Q50)</f>
        <v>55.583655499999999</v>
      </c>
      <c r="R45" s="9">
        <f t="shared" si="19"/>
        <v>54.9629184</v>
      </c>
      <c r="S45" s="9">
        <f t="shared" si="19"/>
        <v>49.082694860000004</v>
      </c>
      <c r="T45" s="9">
        <f t="shared" si="19"/>
        <v>57.097280980000001</v>
      </c>
      <c r="U45" s="9">
        <f t="shared" si="19"/>
        <v>47.636293819999999</v>
      </c>
      <c r="V45" s="9">
        <f t="shared" si="19"/>
        <v>46.971507459999998</v>
      </c>
      <c r="W45" s="9">
        <f t="shared" si="19"/>
        <v>51.493997259999993</v>
      </c>
      <c r="X45" s="9">
        <f t="shared" si="19"/>
        <v>46.735641690000008</v>
      </c>
      <c r="Y45" s="9">
        <f t="shared" ref="Y45:AE45" si="20">SUM(Y46:Y50)</f>
        <v>52.673049919999997</v>
      </c>
      <c r="Z45" s="9">
        <f t="shared" si="20"/>
        <v>52.289317230000002</v>
      </c>
      <c r="AA45" s="9">
        <f t="shared" si="20"/>
        <v>40.085187489999996</v>
      </c>
      <c r="AB45" s="9">
        <f t="shared" si="20"/>
        <v>38.385628109999999</v>
      </c>
      <c r="AC45" s="9">
        <f t="shared" si="20"/>
        <v>41.960275469999999</v>
      </c>
      <c r="AD45" s="9">
        <f t="shared" si="20"/>
        <v>41.306034390000001</v>
      </c>
      <c r="AE45" s="9">
        <f t="shared" si="20"/>
        <v>44.203243349999994</v>
      </c>
      <c r="AF45" s="9">
        <f t="shared" ref="AF45:AM45" si="21">SUM(AF46:AF50)</f>
        <v>47.314848999999995</v>
      </c>
      <c r="AG45" s="9">
        <f t="shared" si="21"/>
        <v>37.681899710000003</v>
      </c>
      <c r="AH45" s="9">
        <f t="shared" si="21"/>
        <v>34.790087870000001</v>
      </c>
      <c r="AI45" s="9">
        <f t="shared" si="21"/>
        <v>42.889557519999997</v>
      </c>
      <c r="AJ45" s="9">
        <f t="shared" si="21"/>
        <v>44.078781450000001</v>
      </c>
      <c r="AK45" s="9">
        <f t="shared" si="21"/>
        <v>37.959551309999995</v>
      </c>
      <c r="AL45" s="9">
        <f t="shared" si="21"/>
        <v>39.865567810000002</v>
      </c>
      <c r="AM45" s="9">
        <f t="shared" si="21"/>
        <v>48.977401450000002</v>
      </c>
      <c r="AN45" s="9">
        <f>SUM(AN46:AN50)</f>
        <v>45.018566209999996</v>
      </c>
      <c r="AO45" s="9">
        <f>SUM(AO46:AO50)</f>
        <v>55.119108129999994</v>
      </c>
      <c r="AP45" s="48"/>
    </row>
    <row r="46" spans="1:42" x14ac:dyDescent="0.3">
      <c r="A46" s="1">
        <v>5</v>
      </c>
      <c r="B46" s="5" t="s">
        <v>82</v>
      </c>
      <c r="C46" s="7">
        <f t="shared" si="17"/>
        <v>27.355224159999995</v>
      </c>
      <c r="D46" s="7">
        <f>+HLOOKUP($D$42,$H$42:$AP$67,A46,FALSE)</f>
        <v>36.349817639999998</v>
      </c>
      <c r="E46" s="36">
        <f>D46/C46-1</f>
        <v>0.32880715681183448</v>
      </c>
      <c r="H46" s="5" t="s">
        <v>82</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row>
    <row r="47" spans="1:42" x14ac:dyDescent="0.3">
      <c r="A47" s="1">
        <v>6</v>
      </c>
      <c r="B47" s="5" t="s">
        <v>83</v>
      </c>
      <c r="C47" s="7">
        <f t="shared" si="17"/>
        <v>6.59947835</v>
      </c>
      <c r="D47" s="7">
        <f>+HLOOKUP($D$42,$H$42:$AP$67,A47,FALSE)</f>
        <v>4.9982266399999995</v>
      </c>
      <c r="E47" s="49">
        <f t="shared" ref="E47" si="22">D47/C47-1</f>
        <v>-0.24263307265793221</v>
      </c>
      <c r="H47" s="5" t="s">
        <v>83</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row>
    <row r="48" spans="1:42" x14ac:dyDescent="0.3">
      <c r="A48" s="1">
        <v>7</v>
      </c>
      <c r="B48" s="5" t="s">
        <v>84</v>
      </c>
      <c r="C48" s="7">
        <f t="shared" si="17"/>
        <v>2.5091850400000002</v>
      </c>
      <c r="D48" s="7">
        <f t="shared" si="18"/>
        <v>9.6457732699999994</v>
      </c>
      <c r="E48" s="36">
        <f t="shared" ref="E48:E50" si="23">D48/C48-1</f>
        <v>2.8441857082010973</v>
      </c>
      <c r="H48" s="5" t="s">
        <v>91</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row>
    <row r="49" spans="1:41" x14ac:dyDescent="0.3">
      <c r="A49" s="1">
        <v>8</v>
      </c>
      <c r="B49" s="5" t="s">
        <v>56</v>
      </c>
      <c r="C49" s="7">
        <f t="shared" si="17"/>
        <v>0</v>
      </c>
      <c r="D49" s="7">
        <f t="shared" si="18"/>
        <v>0</v>
      </c>
      <c r="E49" s="49" t="s">
        <v>43</v>
      </c>
      <c r="H49" s="5" t="s">
        <v>56</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72">
        <v>0</v>
      </c>
      <c r="AG49" s="72">
        <v>0</v>
      </c>
      <c r="AH49" s="72"/>
      <c r="AI49" s="72"/>
      <c r="AJ49" s="72"/>
      <c r="AK49" s="72">
        <v>0</v>
      </c>
      <c r="AL49" s="72">
        <v>0</v>
      </c>
      <c r="AM49" s="72">
        <v>0</v>
      </c>
      <c r="AN49" s="72">
        <v>0</v>
      </c>
      <c r="AO49" s="72">
        <v>0</v>
      </c>
    </row>
    <row r="50" spans="1:41" x14ac:dyDescent="0.3">
      <c r="A50" s="1">
        <v>9</v>
      </c>
      <c r="B50" s="5" t="s">
        <v>54</v>
      </c>
      <c r="C50" s="7">
        <f t="shared" si="17"/>
        <v>1.49566376</v>
      </c>
      <c r="D50" s="7">
        <f t="shared" si="18"/>
        <v>4.1252905799999997</v>
      </c>
      <c r="E50" s="36">
        <f t="shared" si="23"/>
        <v>1.7581671030125112</v>
      </c>
      <c r="H50" s="5" t="s">
        <v>54</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row>
    <row r="51" spans="1:41" ht="4.5" customHeight="1" x14ac:dyDescent="0.3">
      <c r="A51" s="1">
        <v>10</v>
      </c>
      <c r="C51" s="1">
        <f t="shared" si="17"/>
        <v>0</v>
      </c>
      <c r="D51" s="1">
        <f t="shared" si="18"/>
        <v>0</v>
      </c>
    </row>
    <row r="52" spans="1:41" x14ac:dyDescent="0.3">
      <c r="A52" s="1">
        <v>11</v>
      </c>
      <c r="B52" s="2" t="s">
        <v>85</v>
      </c>
      <c r="C52" s="9">
        <f t="shared" si="17"/>
        <v>-17.433526780000001</v>
      </c>
      <c r="D52" s="9">
        <f t="shared" si="18"/>
        <v>-25.704476410000002</v>
      </c>
      <c r="E52" s="38">
        <f>D52/C52-1</f>
        <v>0.47442779274521518</v>
      </c>
      <c r="H52" s="2" t="s">
        <v>85</v>
      </c>
      <c r="I52" s="32"/>
      <c r="J52" s="32"/>
      <c r="K52" s="32"/>
      <c r="L52" s="32"/>
      <c r="M52" s="32"/>
      <c r="N52" s="32"/>
      <c r="O52" s="32"/>
      <c r="P52" s="32"/>
      <c r="Q52" s="9">
        <f t="shared" ref="Q52:X52" si="24">SUM(Q53:Q57)</f>
        <v>-32.306038980000004</v>
      </c>
      <c r="R52" s="9">
        <f t="shared" si="24"/>
        <v>-41.795531619999998</v>
      </c>
      <c r="S52" s="9">
        <f t="shared" si="24"/>
        <v>-30.759452379999999</v>
      </c>
      <c r="T52" s="9">
        <f t="shared" si="24"/>
        <v>-39.480105159999994</v>
      </c>
      <c r="U52" s="9">
        <f t="shared" si="24"/>
        <v>-34.353933659999996</v>
      </c>
      <c r="V52" s="9">
        <f t="shared" si="24"/>
        <v>-33.9733351</v>
      </c>
      <c r="W52" s="9">
        <f t="shared" si="24"/>
        <v>-35.661452799999999</v>
      </c>
      <c r="X52" s="9">
        <f t="shared" si="24"/>
        <v>-37.405603590000005</v>
      </c>
      <c r="Y52" s="9">
        <f t="shared" ref="Y52:AE52" si="25">SUM(Y53:Y57)</f>
        <v>-40.773118190000005</v>
      </c>
      <c r="Z52" s="9">
        <f t="shared" si="25"/>
        <v>-37.811925799999997</v>
      </c>
      <c r="AA52" s="9">
        <f t="shared" si="25"/>
        <v>-30.209554599999997</v>
      </c>
      <c r="AB52" s="9">
        <f>+SUM(AB53:AB57)</f>
        <v>-28.78228824</v>
      </c>
      <c r="AC52" s="9">
        <f t="shared" si="25"/>
        <v>-23.492882950000002</v>
      </c>
      <c r="AD52" s="9">
        <f t="shared" si="25"/>
        <v>-20.57628506</v>
      </c>
      <c r="AE52" s="9">
        <f t="shared" si="25"/>
        <v>-26.275369099999999</v>
      </c>
      <c r="AF52" s="9">
        <f t="shared" ref="AF52:AO52" si="26">SUM(AF53:AF57)</f>
        <v>-25.377440749999998</v>
      </c>
      <c r="AG52" s="9">
        <f t="shared" si="26"/>
        <v>-15.04848601</v>
      </c>
      <c r="AH52" s="9">
        <f t="shared" si="26"/>
        <v>-19.82229126</v>
      </c>
      <c r="AI52" s="9">
        <f t="shared" si="26"/>
        <v>-24.184998679999996</v>
      </c>
      <c r="AJ52" s="9">
        <f t="shared" si="26"/>
        <v>-25.542623639999995</v>
      </c>
      <c r="AK52" s="9">
        <f t="shared" si="26"/>
        <v>-17.433526780000001</v>
      </c>
      <c r="AL52" s="9">
        <f t="shared" si="26"/>
        <v>-22.079148879999995</v>
      </c>
      <c r="AM52" s="9">
        <f t="shared" si="26"/>
        <v>-25.808040840000004</v>
      </c>
      <c r="AN52" s="9">
        <f t="shared" si="26"/>
        <v>-23.148096080000023</v>
      </c>
      <c r="AO52" s="9">
        <f t="shared" si="26"/>
        <v>-25.704476410000002</v>
      </c>
    </row>
    <row r="53" spans="1:41" x14ac:dyDescent="0.3">
      <c r="A53" s="1">
        <v>12</v>
      </c>
      <c r="B53" s="5" t="s">
        <v>56</v>
      </c>
      <c r="C53" s="44">
        <f t="shared" si="17"/>
        <v>-0.42041494000000001</v>
      </c>
      <c r="D53" s="44">
        <f t="shared" si="18"/>
        <v>-1.7283915600000002</v>
      </c>
      <c r="E53" s="36">
        <f t="shared" ref="E53:E57" si="27">D53/C53-1</f>
        <v>3.111156373272558</v>
      </c>
      <c r="H53" s="5" t="s">
        <v>56</v>
      </c>
      <c r="I53" s="7"/>
      <c r="J53" s="7"/>
      <c r="K53" s="7"/>
      <c r="L53" s="7"/>
      <c r="M53" s="7"/>
      <c r="N53" s="7"/>
      <c r="O53" s="7"/>
      <c r="P53" s="7"/>
      <c r="Q53" s="44">
        <v>-8.6869376099999993</v>
      </c>
      <c r="R53" s="44">
        <v>-10.98468411</v>
      </c>
      <c r="S53" s="44">
        <v>-7.5221053799999993</v>
      </c>
      <c r="T53" s="44">
        <v>-8.4976941799999999</v>
      </c>
      <c r="U53" s="44">
        <v>-8.7930702800000002</v>
      </c>
      <c r="V53" s="44">
        <v>-8.4213767199999996</v>
      </c>
      <c r="W53" s="44">
        <v>-9.6291035800000007</v>
      </c>
      <c r="X53" s="44">
        <v>-10.23718113</v>
      </c>
      <c r="Y53" s="44">
        <v>-10.758186589999999</v>
      </c>
      <c r="Z53" s="44">
        <v>-10.957769000000001</v>
      </c>
      <c r="AA53" s="44">
        <v>-0.66157777000000095</v>
      </c>
      <c r="AB53" s="44"/>
      <c r="AC53" s="44">
        <v>-0.49616329999999997</v>
      </c>
      <c r="AD53" s="44">
        <v>-0.73033623999999997</v>
      </c>
      <c r="AE53" s="44">
        <v>-1.3071812600000001</v>
      </c>
      <c r="AF53" s="44">
        <v>-0.91939967999999994</v>
      </c>
      <c r="AG53" s="44">
        <v>-0.7</v>
      </c>
      <c r="AH53" s="44">
        <v>-2.2193861799999999</v>
      </c>
      <c r="AI53" s="44">
        <v>-1.2449280699999998</v>
      </c>
      <c r="AJ53" s="44">
        <v>-1.1551104400000001</v>
      </c>
      <c r="AK53" s="44">
        <v>-0.42041494000000001</v>
      </c>
      <c r="AL53" s="44">
        <v>-1.3291058100000002</v>
      </c>
      <c r="AM53" s="44">
        <v>-1.4726724600000001</v>
      </c>
      <c r="AN53" s="44">
        <v>-1.450856120000001</v>
      </c>
      <c r="AO53" s="44">
        <v>-1.7283915600000002</v>
      </c>
    </row>
    <row r="54" spans="1:41" x14ac:dyDescent="0.3">
      <c r="A54" s="1">
        <v>13</v>
      </c>
      <c r="B54" s="5" t="s">
        <v>57</v>
      </c>
      <c r="C54" s="44">
        <f t="shared" si="17"/>
        <v>-0.38486635999999996</v>
      </c>
      <c r="D54" s="44">
        <f t="shared" si="18"/>
        <v>-3.98073E-3</v>
      </c>
      <c r="E54" s="49" t="s">
        <v>43</v>
      </c>
      <c r="H54" s="5" t="s">
        <v>57</v>
      </c>
      <c r="I54" s="7"/>
      <c r="J54" s="7"/>
      <c r="K54" s="7"/>
      <c r="L54" s="7"/>
      <c r="M54" s="7"/>
      <c r="N54" s="7"/>
      <c r="O54" s="7"/>
      <c r="P54" s="7"/>
      <c r="Q54" s="44">
        <v>-2.4822059000000003</v>
      </c>
      <c r="R54" s="44">
        <v>-8.7254282500000002</v>
      </c>
      <c r="S54" s="44">
        <v>-3.1551651900000004</v>
      </c>
      <c r="T54" s="44">
        <v>-1.36595606</v>
      </c>
      <c r="U54" s="44">
        <v>-2.8579380299999997</v>
      </c>
      <c r="V54" s="44">
        <v>-1.42054E-2</v>
      </c>
      <c r="W54" s="44">
        <v>-0.14726351999999998</v>
      </c>
      <c r="X54" s="44">
        <v>-1.8561880000000003E-2</v>
      </c>
      <c r="Y54" s="44">
        <v>-6.3891180600000004</v>
      </c>
      <c r="Z54" s="44">
        <v>-1.296899E-2</v>
      </c>
      <c r="AA54" s="44">
        <v>-0.13729293999999997</v>
      </c>
      <c r="AB54" s="44">
        <v>-3.7507E-3</v>
      </c>
      <c r="AC54" s="44">
        <v>-0.27191003000000002</v>
      </c>
      <c r="AD54" s="44">
        <v>-0.36717951000000004</v>
      </c>
      <c r="AE54" s="44">
        <v>0</v>
      </c>
      <c r="AF54" s="44">
        <v>-0.34991742999999997</v>
      </c>
      <c r="AG54" s="44">
        <v>-1.3</v>
      </c>
      <c r="AH54" s="44">
        <v>-0.48811054999999998</v>
      </c>
      <c r="AI54" s="44">
        <v>-5.9718210000000001E-2</v>
      </c>
      <c r="AJ54" s="44">
        <v>-1.2861E-4</v>
      </c>
      <c r="AK54" s="44">
        <v>-0.38486635999999996</v>
      </c>
      <c r="AL54" s="44">
        <v>-0.80649880999999979</v>
      </c>
      <c r="AM54" s="44">
        <v>-0.45685123999999999</v>
      </c>
      <c r="AN54" s="44">
        <v>-0.10758014000000027</v>
      </c>
      <c r="AO54" s="44">
        <v>-3.98073E-3</v>
      </c>
    </row>
    <row r="55" spans="1:41" x14ac:dyDescent="0.3">
      <c r="A55" s="1">
        <v>14</v>
      </c>
      <c r="B55" s="5" t="s">
        <v>58</v>
      </c>
      <c r="C55" s="44">
        <f t="shared" si="17"/>
        <v>-15.12824548</v>
      </c>
      <c r="D55" s="44">
        <f t="shared" si="18"/>
        <v>-21.88420558</v>
      </c>
      <c r="E55" s="36">
        <f t="shared" si="27"/>
        <v>0.44657922221923108</v>
      </c>
      <c r="H55" s="5" t="s">
        <v>58</v>
      </c>
      <c r="I55" s="7"/>
      <c r="J55" s="7"/>
      <c r="K55" s="7"/>
      <c r="L55" s="7"/>
      <c r="M55" s="7"/>
      <c r="N55" s="7"/>
      <c r="O55" s="7"/>
      <c r="P55" s="7"/>
      <c r="Q55" s="44">
        <v>-16.863124360000004</v>
      </c>
      <c r="R55" s="44">
        <v>-19.939320459999998</v>
      </c>
      <c r="S55" s="44">
        <v>-17.725214960000002</v>
      </c>
      <c r="T55" s="44">
        <v>-28.326226259999999</v>
      </c>
      <c r="U55" s="44">
        <v>-20.05521062</v>
      </c>
      <c r="V55" s="44">
        <v>-23.011494200000001</v>
      </c>
      <c r="W55" s="44">
        <v>-24.285353650000001</v>
      </c>
      <c r="X55" s="44">
        <v>-24.371911540000003</v>
      </c>
      <c r="Y55" s="44">
        <v>-18.965294759999999</v>
      </c>
      <c r="Z55" s="44">
        <v>-23.6114715</v>
      </c>
      <c r="AA55" s="44">
        <v>-24.548299199999999</v>
      </c>
      <c r="AB55" s="44">
        <v>-25.285733</v>
      </c>
      <c r="AC55" s="44">
        <v>-19.612186380000001</v>
      </c>
      <c r="AD55" s="44">
        <v>-16.17645731</v>
      </c>
      <c r="AE55" s="44">
        <v>-22.237171629999999</v>
      </c>
      <c r="AF55" s="44">
        <v>-20.756213280000001</v>
      </c>
      <c r="AG55" s="44">
        <v>-11.1</v>
      </c>
      <c r="AH55" s="44">
        <v>-14.580119980000001</v>
      </c>
      <c r="AI55" s="44">
        <v>-20.636345499999997</v>
      </c>
      <c r="AJ55" s="44">
        <v>-19.569473139999999</v>
      </c>
      <c r="AK55" s="44">
        <v>-15.12824548</v>
      </c>
      <c r="AL55" s="44">
        <v>-17.254955880000001</v>
      </c>
      <c r="AM55" s="44">
        <v>-21.71192946</v>
      </c>
      <c r="AN55" s="44">
        <v>-19.526062860000014</v>
      </c>
      <c r="AO55" s="44">
        <v>-21.88420558</v>
      </c>
    </row>
    <row r="56" spans="1:41" x14ac:dyDescent="0.3">
      <c r="A56" s="1">
        <v>15</v>
      </c>
      <c r="B56" s="5" t="s">
        <v>59</v>
      </c>
      <c r="C56" s="44">
        <f t="shared" si="17"/>
        <v>0</v>
      </c>
      <c r="D56" s="44">
        <f t="shared" si="18"/>
        <v>0</v>
      </c>
      <c r="E56" s="49" t="s">
        <v>43</v>
      </c>
      <c r="H56" s="5" t="s">
        <v>59</v>
      </c>
      <c r="I56" s="7"/>
      <c r="J56" s="7"/>
      <c r="K56" s="7"/>
      <c r="L56" s="7"/>
      <c r="M56" s="7"/>
      <c r="N56" s="7"/>
      <c r="O56" s="7"/>
      <c r="P56" s="7"/>
      <c r="Q56" s="44"/>
      <c r="R56" s="44"/>
      <c r="S56" s="44"/>
      <c r="T56" s="44"/>
      <c r="U56" s="44"/>
      <c r="V56" s="44"/>
      <c r="W56" s="44"/>
      <c r="X56" s="44"/>
      <c r="Y56" s="44"/>
      <c r="Z56" s="44"/>
      <c r="AA56" s="44">
        <v>-1.3596464999999998</v>
      </c>
      <c r="AB56" s="44">
        <v>0</v>
      </c>
      <c r="AC56" s="44">
        <v>0</v>
      </c>
      <c r="AD56" s="44">
        <v>0</v>
      </c>
      <c r="AE56" s="44">
        <v>0</v>
      </c>
      <c r="AF56" s="44">
        <v>0</v>
      </c>
      <c r="AG56" s="44">
        <v>0</v>
      </c>
      <c r="AH56" s="44">
        <v>0</v>
      </c>
      <c r="AI56" s="44">
        <v>0</v>
      </c>
      <c r="AJ56" s="44">
        <v>-0.91938023999999996</v>
      </c>
      <c r="AK56" s="44">
        <v>0</v>
      </c>
      <c r="AL56" s="44">
        <v>-0.27632070000000003</v>
      </c>
      <c r="AM56" s="83">
        <v>0</v>
      </c>
      <c r="AN56" s="83">
        <v>0</v>
      </c>
      <c r="AO56" s="83">
        <v>0</v>
      </c>
    </row>
    <row r="57" spans="1:41" x14ac:dyDescent="0.3">
      <c r="A57" s="1">
        <v>16</v>
      </c>
      <c r="B57" s="5" t="s">
        <v>86</v>
      </c>
      <c r="C57" s="44">
        <f t="shared" si="17"/>
        <v>-1.5</v>
      </c>
      <c r="D57" s="44">
        <f t="shared" si="18"/>
        <v>-2.0878985400000003</v>
      </c>
      <c r="E57" s="49">
        <f t="shared" si="27"/>
        <v>0.3919323600000002</v>
      </c>
      <c r="H57" s="5" t="s">
        <v>86</v>
      </c>
      <c r="I57" s="7"/>
      <c r="J57" s="7"/>
      <c r="K57" s="7"/>
      <c r="L57" s="7"/>
      <c r="M57" s="7"/>
      <c r="N57" s="7"/>
      <c r="O57" s="7"/>
      <c r="P57" s="7"/>
      <c r="Q57" s="44">
        <v>-4.2737711100000002</v>
      </c>
      <c r="R57" s="44">
        <v>-2.1460987999999999</v>
      </c>
      <c r="S57" s="44">
        <v>-2.3569668500000001</v>
      </c>
      <c r="T57" s="44">
        <v>-1.2902286600000001</v>
      </c>
      <c r="U57" s="44">
        <v>-2.6477147300000001</v>
      </c>
      <c r="V57" s="44">
        <v>-2.5262587800000005</v>
      </c>
      <c r="W57" s="44">
        <v>-1.5997320500000001</v>
      </c>
      <c r="X57" s="44">
        <v>-2.7779490399999998</v>
      </c>
      <c r="Y57" s="44">
        <v>-4.6605187800000003</v>
      </c>
      <c r="Z57" s="44">
        <v>-3.2297163100000006</v>
      </c>
      <c r="AA57" s="44">
        <v>-3.5027381900000001</v>
      </c>
      <c r="AB57" s="44">
        <v>-3.4928045399999998</v>
      </c>
      <c r="AC57" s="44">
        <v>-3.11262324</v>
      </c>
      <c r="AD57" s="44">
        <v>-3.3023120000000001</v>
      </c>
      <c r="AE57" s="44">
        <v>-2.7310162099999999</v>
      </c>
      <c r="AF57" s="44">
        <v>-3.3519103599999998</v>
      </c>
      <c r="AG57" s="44">
        <v>-1.9484860099999997</v>
      </c>
      <c r="AH57" s="44">
        <v>-2.5346745500000001</v>
      </c>
      <c r="AI57" s="44">
        <v>-2.2440068999999996</v>
      </c>
      <c r="AJ57" s="44">
        <v>-3.8985312099999998</v>
      </c>
      <c r="AK57" s="44">
        <v>-1.5</v>
      </c>
      <c r="AL57" s="44">
        <v>-2.4122676799999958</v>
      </c>
      <c r="AM57" s="44">
        <v>-2.1665876800000046</v>
      </c>
      <c r="AN57" s="44">
        <v>-2.0635969600000101</v>
      </c>
      <c r="AO57" s="44">
        <v>-2.0878985400000003</v>
      </c>
    </row>
    <row r="58" spans="1:41" ht="4.5" customHeight="1" x14ac:dyDescent="0.3">
      <c r="A58" s="1">
        <v>17</v>
      </c>
      <c r="C58" s="33">
        <f t="shared" si="17"/>
        <v>0</v>
      </c>
      <c r="D58" s="33">
        <f t="shared" si="18"/>
        <v>0</v>
      </c>
      <c r="E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row>
    <row r="59" spans="1:41" x14ac:dyDescent="0.3">
      <c r="A59" s="1">
        <v>18</v>
      </c>
      <c r="B59" s="2" t="s">
        <v>87</v>
      </c>
      <c r="C59" s="9">
        <f t="shared" si="17"/>
        <v>20.526024529999994</v>
      </c>
      <c r="D59" s="9">
        <f t="shared" si="18"/>
        <v>29.414631719999992</v>
      </c>
      <c r="E59" s="38">
        <f>D59/C59-1</f>
        <v>0.43304085391736602</v>
      </c>
      <c r="H59" s="2" t="s">
        <v>87</v>
      </c>
      <c r="I59" s="32"/>
      <c r="J59" s="32"/>
      <c r="K59" s="32"/>
      <c r="L59" s="32"/>
      <c r="M59" s="32"/>
      <c r="N59" s="32"/>
      <c r="O59" s="32"/>
      <c r="P59" s="32"/>
      <c r="Q59" s="9">
        <f t="shared" ref="Q59:X59" si="28">Q52+Q45</f>
        <v>23.277616519999995</v>
      </c>
      <c r="R59" s="9">
        <f t="shared" si="28"/>
        <v>13.167386780000001</v>
      </c>
      <c r="S59" s="9">
        <f t="shared" si="28"/>
        <v>18.323242480000005</v>
      </c>
      <c r="T59" s="9">
        <f t="shared" si="28"/>
        <v>17.617175820000007</v>
      </c>
      <c r="U59" s="9">
        <f t="shared" si="28"/>
        <v>13.282360160000003</v>
      </c>
      <c r="V59" s="9">
        <f t="shared" si="28"/>
        <v>12.998172359999998</v>
      </c>
      <c r="W59" s="9">
        <f t="shared" si="28"/>
        <v>15.832544459999994</v>
      </c>
      <c r="X59" s="9">
        <f t="shared" si="28"/>
        <v>9.330038100000003</v>
      </c>
      <c r="Y59" s="9">
        <f t="shared" ref="Y59:AE59" si="29">Y52+Y45</f>
        <v>11.899931729999992</v>
      </c>
      <c r="Z59" s="9">
        <f t="shared" si="29"/>
        <v>14.477391430000004</v>
      </c>
      <c r="AA59" s="9">
        <f t="shared" si="29"/>
        <v>9.8756328899999986</v>
      </c>
      <c r="AB59" s="9">
        <f t="shared" si="29"/>
        <v>9.6033398699999992</v>
      </c>
      <c r="AC59" s="9">
        <f t="shared" si="29"/>
        <v>18.467392519999997</v>
      </c>
      <c r="AD59" s="9">
        <f t="shared" si="29"/>
        <v>20.729749330000001</v>
      </c>
      <c r="AE59" s="9">
        <f t="shared" si="29"/>
        <v>17.927874249999995</v>
      </c>
      <c r="AF59" s="9">
        <f t="shared" ref="AF59:AO59" si="30">AF52+AF45</f>
        <v>21.937408249999997</v>
      </c>
      <c r="AG59" s="9">
        <f t="shared" si="30"/>
        <v>22.633413700000006</v>
      </c>
      <c r="AH59" s="9">
        <f t="shared" si="30"/>
        <v>14.967796610000001</v>
      </c>
      <c r="AI59" s="9">
        <f t="shared" si="30"/>
        <v>18.704558840000001</v>
      </c>
      <c r="AJ59" s="9">
        <f t="shared" si="30"/>
        <v>18.536157810000006</v>
      </c>
      <c r="AK59" s="9">
        <f t="shared" si="30"/>
        <v>20.526024529999994</v>
      </c>
      <c r="AL59" s="9">
        <f t="shared" si="30"/>
        <v>17.786418930000007</v>
      </c>
      <c r="AM59" s="9">
        <f t="shared" si="30"/>
        <v>23.169360609999998</v>
      </c>
      <c r="AN59" s="9">
        <f t="shared" si="30"/>
        <v>21.870470129999973</v>
      </c>
      <c r="AO59" s="9">
        <f t="shared" si="30"/>
        <v>29.414631719999992</v>
      </c>
    </row>
    <row r="60" spans="1:41" ht="4.5" customHeight="1" x14ac:dyDescent="0.3">
      <c r="A60" s="1">
        <v>19</v>
      </c>
      <c r="C60" s="33">
        <f t="shared" si="17"/>
        <v>0</v>
      </c>
      <c r="D60" s="33">
        <f t="shared" si="18"/>
        <v>0</v>
      </c>
      <c r="E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row>
    <row r="61" spans="1:41" x14ac:dyDescent="0.3">
      <c r="A61" s="1">
        <v>20</v>
      </c>
      <c r="B61" s="5" t="s">
        <v>63</v>
      </c>
      <c r="C61" s="44">
        <f t="shared" si="17"/>
        <v>-1.84047212</v>
      </c>
      <c r="D61" s="44">
        <f t="shared" si="18"/>
        <v>-2.6075955300000002</v>
      </c>
      <c r="E61" s="36">
        <f>D61/C61-1</f>
        <v>0.41680794925597686</v>
      </c>
      <c r="H61" s="5" t="s">
        <v>63</v>
      </c>
      <c r="I61" s="7"/>
      <c r="J61" s="7"/>
      <c r="K61" s="7"/>
      <c r="L61" s="7"/>
      <c r="M61" s="7"/>
      <c r="N61" s="7"/>
      <c r="O61" s="7"/>
      <c r="P61" s="7"/>
      <c r="Q61" s="44">
        <v>-1.9020556099999997</v>
      </c>
      <c r="R61" s="44">
        <v>-0.95662959000000014</v>
      </c>
      <c r="S61" s="44">
        <v>-1.38904001</v>
      </c>
      <c r="T61" s="44">
        <v>-1.64653396</v>
      </c>
      <c r="U61" s="44">
        <v>-1.35093598</v>
      </c>
      <c r="V61" s="44">
        <v>-1.4034176600000001</v>
      </c>
      <c r="W61" s="44">
        <v>-1.39107256</v>
      </c>
      <c r="X61" s="44">
        <v>-1.7022323799999999</v>
      </c>
      <c r="Y61" s="44">
        <v>-1.4411471600000001</v>
      </c>
      <c r="Z61" s="44">
        <v>-1.51758236</v>
      </c>
      <c r="AA61" s="44">
        <v>-1.6644289400000001</v>
      </c>
      <c r="AB61" s="44">
        <v>-1.50439375</v>
      </c>
      <c r="AC61" s="44">
        <v>-1.4640062700000001</v>
      </c>
      <c r="AD61" s="44">
        <v>-1.6127271700000001</v>
      </c>
      <c r="AE61" s="44">
        <v>-1.1963248800000001</v>
      </c>
      <c r="AF61" s="44">
        <v>-1.91541703</v>
      </c>
      <c r="AG61" s="44">
        <v>-1.6</v>
      </c>
      <c r="AH61" s="44">
        <v>-1.5261225700000001</v>
      </c>
      <c r="AI61" s="44">
        <v>-1.5336618200000003</v>
      </c>
      <c r="AJ61" s="44">
        <v>-1.5264548799999997</v>
      </c>
      <c r="AK61" s="44">
        <v>-1.84047212</v>
      </c>
      <c r="AL61" s="44">
        <v>-1.4989665900000009</v>
      </c>
      <c r="AM61" s="44">
        <v>-1.5633669299999993</v>
      </c>
      <c r="AN61" s="44">
        <v>-1.4798497800000001</v>
      </c>
      <c r="AO61" s="44">
        <v>-2.6075955300000002</v>
      </c>
    </row>
    <row r="62" spans="1:41" x14ac:dyDescent="0.3">
      <c r="A62" s="1">
        <v>21</v>
      </c>
      <c r="B62" s="5" t="s">
        <v>88</v>
      </c>
      <c r="C62" s="44">
        <f t="shared" si="17"/>
        <v>-1.7515005400000001</v>
      </c>
      <c r="D62" s="44">
        <f t="shared" si="18"/>
        <v>-1.90847655</v>
      </c>
      <c r="E62" s="49">
        <f>D62/C62-1</f>
        <v>8.9623729148265108E-2</v>
      </c>
      <c r="H62" s="5" t="s">
        <v>88</v>
      </c>
      <c r="I62" s="7"/>
      <c r="J62" s="7"/>
      <c r="K62" s="7"/>
      <c r="L62" s="7"/>
      <c r="M62" s="7"/>
      <c r="N62" s="7"/>
      <c r="O62" s="7"/>
      <c r="P62" s="7"/>
      <c r="Q62" s="44">
        <v>-4.6529306799999999</v>
      </c>
      <c r="R62" s="44">
        <v>-3.0893527200000004</v>
      </c>
      <c r="S62" s="44">
        <v>-0.84189764999999994</v>
      </c>
      <c r="T62" s="44">
        <v>-1.86806512</v>
      </c>
      <c r="U62" s="44">
        <v>-0.51768802999999997</v>
      </c>
      <c r="V62" s="44">
        <v>-0.68306328000000005</v>
      </c>
      <c r="W62" s="44">
        <v>-0.97182712999999998</v>
      </c>
      <c r="X62" s="44">
        <v>10.162852590000002</v>
      </c>
      <c r="Y62" s="44">
        <v>-0.53674665999999993</v>
      </c>
      <c r="Z62" s="44">
        <v>-0.63847730999999985</v>
      </c>
      <c r="AA62" s="44">
        <v>-0.85316294999999986</v>
      </c>
      <c r="AB62" s="44">
        <v>-1.3746567500000002</v>
      </c>
      <c r="AC62" s="44">
        <v>-0.52620058000000003</v>
      </c>
      <c r="AD62" s="44">
        <v>-0.64479643999999992</v>
      </c>
      <c r="AE62" s="44">
        <v>-0.74230715999999985</v>
      </c>
      <c r="AF62" s="44">
        <v>-1.0305582499999997</v>
      </c>
      <c r="AG62" s="44">
        <v>-1.45151399</v>
      </c>
      <c r="AH62" s="44">
        <v>8.5035019999999961E-2</v>
      </c>
      <c r="AI62" s="44">
        <v>-1.51453455</v>
      </c>
      <c r="AJ62" s="44">
        <v>-0.73680754000000004</v>
      </c>
      <c r="AK62" s="44">
        <v>-1.7515005400000001</v>
      </c>
      <c r="AL62" s="44">
        <v>-1.8322824900000034</v>
      </c>
      <c r="AM62" s="44">
        <v>-1.743260389999995</v>
      </c>
      <c r="AN62" s="44">
        <v>-2.1114044399999914</v>
      </c>
      <c r="AO62" s="44">
        <v>-1.90847655</v>
      </c>
    </row>
    <row r="63" spans="1:41" x14ac:dyDescent="0.3">
      <c r="A63" s="1">
        <v>22</v>
      </c>
      <c r="B63" s="5" t="s">
        <v>65</v>
      </c>
      <c r="C63" s="44">
        <f t="shared" si="17"/>
        <v>-8.9479389499999993</v>
      </c>
      <c r="D63" s="44">
        <f t="shared" si="18"/>
        <v>-8.8220456100000018</v>
      </c>
      <c r="E63" s="36">
        <f t="shared" ref="E63" si="31">D63/C63-1</f>
        <v>-1.4069534973749187E-2</v>
      </c>
      <c r="H63" s="5" t="s">
        <v>65</v>
      </c>
      <c r="I63" s="7"/>
      <c r="J63" s="7"/>
      <c r="K63" s="7"/>
      <c r="L63" s="7"/>
      <c r="M63" s="7"/>
      <c r="N63" s="7"/>
      <c r="O63" s="7"/>
      <c r="P63" s="7"/>
      <c r="Q63" s="44">
        <v>-7.9848667500000001</v>
      </c>
      <c r="R63" s="44">
        <v>-7.9488865200000003</v>
      </c>
      <c r="S63" s="44">
        <v>-7.9521240000000013</v>
      </c>
      <c r="T63" s="44">
        <v>-8.0023987100000014</v>
      </c>
      <c r="U63" s="44">
        <v>-8.0354829599999995</v>
      </c>
      <c r="V63" s="44">
        <v>-8.0330798399999992</v>
      </c>
      <c r="W63" s="44">
        <v>-7.8220839199999972</v>
      </c>
      <c r="X63" s="44">
        <v>-8.3412998900000002</v>
      </c>
      <c r="Y63" s="44">
        <v>-8.1506856200000009</v>
      </c>
      <c r="Z63" s="44">
        <v>-8.2453212299999983</v>
      </c>
      <c r="AA63" s="44">
        <v>-8.2788340199999997</v>
      </c>
      <c r="AB63" s="44">
        <v>-8.5874377700000011</v>
      </c>
      <c r="AC63" s="44">
        <v>-10.861591690000001</v>
      </c>
      <c r="AD63" s="44">
        <v>-11.416930089999997</v>
      </c>
      <c r="AE63" s="44">
        <v>-11.762001100000001</v>
      </c>
      <c r="AF63" s="44">
        <v>-11.893788960000002</v>
      </c>
      <c r="AG63" s="44">
        <v>-11.2</v>
      </c>
      <c r="AH63" s="44">
        <v>-11.47850051</v>
      </c>
      <c r="AI63" s="44">
        <v>-12.182965490000001</v>
      </c>
      <c r="AJ63" s="44">
        <v>-11.69162096</v>
      </c>
      <c r="AK63" s="44">
        <v>-8.9479389499999993</v>
      </c>
      <c r="AL63" s="44">
        <v>-8.7846704900000017</v>
      </c>
      <c r="AM63" s="44">
        <v>-8.78027041</v>
      </c>
      <c r="AN63" s="44">
        <v>-8.9347689600000049</v>
      </c>
      <c r="AO63" s="44">
        <v>-8.8220456100000018</v>
      </c>
    </row>
    <row r="64" spans="1:41" ht="4.5" customHeight="1" x14ac:dyDescent="0.3">
      <c r="A64" s="1">
        <v>23</v>
      </c>
      <c r="C64" s="33">
        <f t="shared" si="17"/>
        <v>0</v>
      </c>
      <c r="D64" s="33">
        <f t="shared" si="18"/>
        <v>0</v>
      </c>
      <c r="E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row>
    <row r="65" spans="1:41" x14ac:dyDescent="0.3">
      <c r="A65" s="1">
        <v>24</v>
      </c>
      <c r="B65" s="2" t="s">
        <v>89</v>
      </c>
      <c r="C65" s="9">
        <f t="shared" si="17"/>
        <v>7.9861129199999947</v>
      </c>
      <c r="D65" s="9">
        <f t="shared" si="18"/>
        <v>16.076514029999991</v>
      </c>
      <c r="E65" s="38">
        <f>D65/C65-1</f>
        <v>1.0130586921378018</v>
      </c>
      <c r="H65" s="2" t="s">
        <v>89</v>
      </c>
      <c r="I65" s="32"/>
      <c r="J65" s="32"/>
      <c r="K65" s="32"/>
      <c r="L65" s="32"/>
      <c r="M65" s="32"/>
      <c r="N65" s="32"/>
      <c r="O65" s="32"/>
      <c r="P65" s="32"/>
      <c r="Q65" s="9">
        <f t="shared" ref="Q65:W65" si="32">Q59+Q61+Q62+Q63</f>
        <v>8.7377634799999964</v>
      </c>
      <c r="R65" s="9">
        <f t="shared" si="32"/>
        <v>1.1725179499999996</v>
      </c>
      <c r="S65" s="9">
        <f t="shared" si="32"/>
        <v>8.1401808200000048</v>
      </c>
      <c r="T65" s="9">
        <f t="shared" si="32"/>
        <v>6.1001780300000057</v>
      </c>
      <c r="U65" s="9">
        <f t="shared" si="32"/>
        <v>3.3782531900000041</v>
      </c>
      <c r="V65" s="9">
        <f t="shared" si="32"/>
        <v>2.8786115799999976</v>
      </c>
      <c r="W65" s="9">
        <f t="shared" si="32"/>
        <v>5.6475608499999979</v>
      </c>
      <c r="X65" s="9">
        <f t="shared" ref="X65:Y65" si="33">X59+X61+X62+X63</f>
        <v>9.4493584200000047</v>
      </c>
      <c r="Y65" s="9">
        <f t="shared" si="33"/>
        <v>1.7713522899999905</v>
      </c>
      <c r="Z65" s="9">
        <f t="shared" ref="Z65" si="34">Z59+Z61+Z62+Z63</f>
        <v>4.0760105300000049</v>
      </c>
      <c r="AA65" s="9">
        <f t="shared" ref="AA65:AO65" si="35">AA59+AA61+AA62+AA63</f>
        <v>-0.92079302000000141</v>
      </c>
      <c r="AB65" s="9">
        <f t="shared" si="35"/>
        <v>-1.8631484000000018</v>
      </c>
      <c r="AC65" s="9">
        <f t="shared" si="35"/>
        <v>5.6155939799999963</v>
      </c>
      <c r="AD65" s="9">
        <f t="shared" si="35"/>
        <v>7.0552956300000034</v>
      </c>
      <c r="AE65" s="9">
        <f t="shared" si="35"/>
        <v>4.227241109999996</v>
      </c>
      <c r="AF65" s="9">
        <f t="shared" si="35"/>
        <v>7.0976440099999962</v>
      </c>
      <c r="AG65" s="9">
        <f t="shared" si="35"/>
        <v>8.3818997100000061</v>
      </c>
      <c r="AH65" s="9">
        <f t="shared" si="35"/>
        <v>2.04820855</v>
      </c>
      <c r="AI65" s="9">
        <f>AI59+AI61+AI62+AI63</f>
        <v>3.4733969800000004</v>
      </c>
      <c r="AJ65" s="9">
        <f t="shared" si="35"/>
        <v>4.5812744300000059</v>
      </c>
      <c r="AK65" s="9">
        <f t="shared" si="35"/>
        <v>7.9861129199999947</v>
      </c>
      <c r="AL65" s="9">
        <f t="shared" si="35"/>
        <v>5.6704993599999991</v>
      </c>
      <c r="AM65" s="9">
        <f t="shared" si="35"/>
        <v>11.082462880000001</v>
      </c>
      <c r="AN65" s="9">
        <f t="shared" si="35"/>
        <v>9.3444469499999787</v>
      </c>
      <c r="AO65" s="9">
        <f t="shared" si="35"/>
        <v>16.076514029999991</v>
      </c>
    </row>
    <row r="66" spans="1:41" ht="4.5" customHeight="1" x14ac:dyDescent="0.3">
      <c r="A66" s="1">
        <v>25</v>
      </c>
      <c r="B66" s="41"/>
      <c r="C66" s="42">
        <f t="shared" si="17"/>
        <v>0</v>
      </c>
      <c r="D66" s="42">
        <f t="shared" si="18"/>
        <v>0</v>
      </c>
      <c r="E66" s="42"/>
      <c r="H66" s="41"/>
      <c r="I66" s="45"/>
      <c r="J66" s="45"/>
      <c r="K66" s="45"/>
      <c r="L66" s="45"/>
      <c r="M66" s="45"/>
      <c r="N66" s="45"/>
      <c r="O66" s="45"/>
      <c r="P66" s="45"/>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row>
    <row r="67" spans="1:41" x14ac:dyDescent="0.3">
      <c r="A67" s="1">
        <v>26</v>
      </c>
      <c r="B67" s="2" t="s">
        <v>67</v>
      </c>
      <c r="C67" s="9">
        <f t="shared" si="17"/>
        <v>16.934051869999994</v>
      </c>
      <c r="D67" s="9">
        <f t="shared" si="18"/>
        <v>24.898559639999995</v>
      </c>
      <c r="E67" s="38">
        <f>D67/C67-1</f>
        <v>0.47032498962104596</v>
      </c>
      <c r="H67" s="2" t="s">
        <v>67</v>
      </c>
      <c r="I67" s="32"/>
      <c r="J67" s="32"/>
      <c r="K67" s="32"/>
      <c r="L67" s="32"/>
      <c r="M67" s="32"/>
      <c r="N67" s="32"/>
      <c r="O67" s="32"/>
      <c r="P67" s="32"/>
      <c r="Q67" s="9">
        <f t="shared" ref="Q67:W67" si="36">Q65-Q63</f>
        <v>16.722630229999996</v>
      </c>
      <c r="R67" s="9">
        <f t="shared" si="36"/>
        <v>9.1214044699999999</v>
      </c>
      <c r="S67" s="9">
        <f>S65-S63</f>
        <v>16.092304820000006</v>
      </c>
      <c r="T67" s="9">
        <f>T65-T63</f>
        <v>14.102576740000007</v>
      </c>
      <c r="U67" s="9">
        <f>U65-U63</f>
        <v>11.413736150000004</v>
      </c>
      <c r="V67" s="9">
        <f>V65-V63</f>
        <v>10.911691419999997</v>
      </c>
      <c r="W67" s="9">
        <f t="shared" si="36"/>
        <v>13.469644769999995</v>
      </c>
      <c r="X67" s="9">
        <f t="shared" ref="X67:Y67" si="37">X65-X63</f>
        <v>17.790658310000005</v>
      </c>
      <c r="Y67" s="9">
        <f t="shared" si="37"/>
        <v>9.9220379099999914</v>
      </c>
      <c r="Z67" s="9">
        <f t="shared" ref="Z67" si="38">Z65-Z63</f>
        <v>12.321331760000003</v>
      </c>
      <c r="AA67" s="9">
        <f t="shared" ref="AA67:AG67" si="39">AA65-AA63</f>
        <v>7.3580409999999983</v>
      </c>
      <c r="AB67" s="9">
        <f t="shared" si="39"/>
        <v>6.7242893699999993</v>
      </c>
      <c r="AC67" s="9">
        <f t="shared" si="39"/>
        <v>16.477185669999997</v>
      </c>
      <c r="AD67" s="9">
        <f t="shared" si="39"/>
        <v>18.472225720000001</v>
      </c>
      <c r="AE67" s="9">
        <f t="shared" si="39"/>
        <v>15.989242209999997</v>
      </c>
      <c r="AF67" s="9">
        <f t="shared" si="39"/>
        <v>18.991432969999998</v>
      </c>
      <c r="AG67" s="9">
        <f t="shared" si="39"/>
        <v>19.581899710000005</v>
      </c>
      <c r="AH67" s="9">
        <v>13.52670906</v>
      </c>
      <c r="AI67" s="9">
        <v>15.656362469999999</v>
      </c>
      <c r="AJ67" s="9">
        <f t="shared" ref="AJ67:AO67" si="40">AJ65-AJ63</f>
        <v>16.272895390000006</v>
      </c>
      <c r="AK67" s="9">
        <f t="shared" si="40"/>
        <v>16.934051869999994</v>
      </c>
      <c r="AL67" s="9">
        <f t="shared" si="40"/>
        <v>14.455169850000001</v>
      </c>
      <c r="AM67" s="9">
        <f t="shared" si="40"/>
        <v>19.862733290000001</v>
      </c>
      <c r="AN67" s="9">
        <f t="shared" si="40"/>
        <v>18.279215909999984</v>
      </c>
      <c r="AO67" s="9">
        <f t="shared" si="40"/>
        <v>24.898559639999995</v>
      </c>
    </row>
    <row r="68" spans="1:41" x14ac:dyDescent="0.3">
      <c r="W68" s="53"/>
    </row>
    <row r="69" spans="1:41" x14ac:dyDescent="0.3">
      <c r="W69" s="53"/>
      <c r="AJ69" s="53"/>
      <c r="AK69" s="53"/>
      <c r="AL69" s="53"/>
      <c r="AM69" s="53"/>
      <c r="AN69" s="53"/>
      <c r="AO69" s="53"/>
    </row>
    <row r="70" spans="1:41" ht="92.25" customHeight="1" x14ac:dyDescent="0.3">
      <c r="B70" s="105" t="s">
        <v>128</v>
      </c>
      <c r="C70" s="105"/>
      <c r="D70" s="105"/>
      <c r="E70" s="105"/>
      <c r="W70" s="53"/>
    </row>
    <row r="71" spans="1:41" x14ac:dyDescent="0.3">
      <c r="AG71" s="53"/>
      <c r="AH71" s="53"/>
      <c r="AI71" s="53"/>
      <c r="AJ71" s="53"/>
      <c r="AK71" s="53"/>
      <c r="AL71" s="53"/>
      <c r="AM71" s="53"/>
      <c r="AN71" s="53"/>
      <c r="AO71" s="53"/>
    </row>
    <row r="72" spans="1:41" ht="226.5" customHeight="1" x14ac:dyDescent="0.3">
      <c r="B72" s="105"/>
      <c r="C72" s="105"/>
      <c r="D72" s="105"/>
      <c r="E72" s="105"/>
      <c r="W72" s="53"/>
    </row>
    <row r="73" spans="1:41" x14ac:dyDescent="0.3">
      <c r="W73" s="54"/>
    </row>
  </sheetData>
  <mergeCells count="63">
    <mergeCell ref="AO7:AO8"/>
    <mergeCell ref="AO42:AO43"/>
    <mergeCell ref="Y42:Y43"/>
    <mergeCell ref="AM42:AM43"/>
    <mergeCell ref="AM7:AM8"/>
    <mergeCell ref="B72:E72"/>
    <mergeCell ref="C42:C43"/>
    <mergeCell ref="D42:D43"/>
    <mergeCell ref="B70:E70"/>
    <mergeCell ref="J42:J43"/>
    <mergeCell ref="K42:K43"/>
    <mergeCell ref="AJ7:AJ8"/>
    <mergeCell ref="AJ42:AJ43"/>
    <mergeCell ref="L42:L43"/>
    <mergeCell ref="C7:C8"/>
    <mergeCell ref="D7:D8"/>
    <mergeCell ref="E7:E8"/>
    <mergeCell ref="U42:U43"/>
    <mergeCell ref="U7:U8"/>
    <mergeCell ref="V42:V43"/>
    <mergeCell ref="E42:E43"/>
    <mergeCell ref="S42:S43"/>
    <mergeCell ref="T42:T43"/>
    <mergeCell ref="N42:N43"/>
    <mergeCell ref="O42:O43"/>
    <mergeCell ref="P42:P43"/>
    <mergeCell ref="Q42:Q43"/>
    <mergeCell ref="R42:R43"/>
    <mergeCell ref="I42:I43"/>
    <mergeCell ref="M42:M43"/>
    <mergeCell ref="V7:V8"/>
    <mergeCell ref="AN7:AN8"/>
    <mergeCell ref="AN42:AN43"/>
    <mergeCell ref="B35:AN37"/>
    <mergeCell ref="Y7:Y8"/>
    <mergeCell ref="AL7:AL8"/>
    <mergeCell ref="AL42:AL43"/>
    <mergeCell ref="AK7:AK8"/>
    <mergeCell ref="AK42:AK43"/>
    <mergeCell ref="AF42:AF43"/>
    <mergeCell ref="AF7:AF8"/>
    <mergeCell ref="AI7:AI8"/>
    <mergeCell ref="AI42:AI43"/>
    <mergeCell ref="AH7:AH8"/>
    <mergeCell ref="AE7:AE8"/>
    <mergeCell ref="AE42:AE43"/>
    <mergeCell ref="Z42:Z43"/>
    <mergeCell ref="AH42:AH43"/>
    <mergeCell ref="AG7:AG8"/>
    <mergeCell ref="AG42:AG43"/>
    <mergeCell ref="X42:X43"/>
    <mergeCell ref="W7:W8"/>
    <mergeCell ref="X7:X8"/>
    <mergeCell ref="Z7:Z8"/>
    <mergeCell ref="AA7:AA8"/>
    <mergeCell ref="AB7:AB8"/>
    <mergeCell ref="AC7:AC8"/>
    <mergeCell ref="AD7:AD8"/>
    <mergeCell ref="AD42:AD43"/>
    <mergeCell ref="AC42:AC43"/>
    <mergeCell ref="AA42:AA43"/>
    <mergeCell ref="AB42:AB43"/>
    <mergeCell ref="W42:W43"/>
  </mergeCells>
  <pageMargins left="0.7" right="0.7" top="0.75" bottom="0.75" header="0.3" footer="0.3"/>
  <pageSetup orientation="portrait" r:id="rId1"/>
  <ignoredErrors>
    <ignoredError sqref="AB10 AB52" formula="1"/>
    <ignoredError sqref="C47:E67 D45:E45 D46:E46"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S50"/>
  <sheetViews>
    <sheetView topLeftCell="B1" zoomScale="80" zoomScaleNormal="80" workbookViewId="0">
      <selection activeCell="I1" sqref="I1:T1048576"/>
    </sheetView>
  </sheetViews>
  <sheetFormatPr baseColWidth="10" defaultColWidth="11.42578125" defaultRowHeight="15" x14ac:dyDescent="0.3"/>
  <cols>
    <col min="1" max="1" width="11.42578125" style="1" hidden="1" customWidth="1"/>
    <col min="2" max="2" width="57" style="1" customWidth="1"/>
    <col min="3" max="7" width="11.42578125" style="1"/>
    <col min="8" max="8" width="60.7109375" style="1" customWidth="1"/>
    <col min="9" max="20" width="11.42578125" style="1" hidden="1" customWidth="1"/>
    <col min="21" max="26" width="15" style="1" customWidth="1"/>
    <col min="27" max="36" width="11.42578125" style="1" customWidth="1"/>
    <col min="37" max="16384" width="11.42578125" style="1"/>
  </cols>
  <sheetData>
    <row r="4" spans="1:45"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row>
    <row r="5" spans="1:45" ht="8.25" customHeight="1" x14ac:dyDescent="0.3"/>
    <row r="6" spans="1:45" x14ac:dyDescent="0.3">
      <c r="A6" s="1">
        <v>1</v>
      </c>
      <c r="B6" s="3" t="s">
        <v>92</v>
      </c>
      <c r="C6" s="102" t="s">
        <v>138</v>
      </c>
      <c r="D6" s="102" t="s">
        <v>148</v>
      </c>
      <c r="E6" s="102" t="s">
        <v>4</v>
      </c>
      <c r="H6" s="3" t="s">
        <v>92</v>
      </c>
      <c r="I6" s="102" t="s">
        <v>6</v>
      </c>
      <c r="J6" s="102" t="s">
        <v>7</v>
      </c>
      <c r="K6" s="102" t="s">
        <v>8</v>
      </c>
      <c r="L6" s="102" t="s">
        <v>9</v>
      </c>
      <c r="M6" s="102" t="s">
        <v>10</v>
      </c>
      <c r="N6" s="102" t="s">
        <v>11</v>
      </c>
      <c r="O6" s="102" t="s">
        <v>12</v>
      </c>
      <c r="P6" s="102" t="s">
        <v>13</v>
      </c>
      <c r="Q6" s="102" t="s">
        <v>14</v>
      </c>
      <c r="R6" s="102" t="s">
        <v>15</v>
      </c>
      <c r="S6" s="102" t="s">
        <v>16</v>
      </c>
      <c r="T6" s="102" t="s">
        <v>17</v>
      </c>
      <c r="U6" s="102" t="s">
        <v>18</v>
      </c>
      <c r="V6" s="102" t="s">
        <v>19</v>
      </c>
      <c r="W6" s="102" t="s">
        <v>20</v>
      </c>
      <c r="X6" s="102" t="s">
        <v>21</v>
      </c>
      <c r="Y6" s="102" t="s">
        <v>22</v>
      </c>
      <c r="Z6" s="102" t="s">
        <v>23</v>
      </c>
      <c r="AA6" s="102" t="s">
        <v>24</v>
      </c>
      <c r="AB6" s="102" t="s">
        <v>2</v>
      </c>
      <c r="AC6" s="102" t="s">
        <v>25</v>
      </c>
      <c r="AD6" s="102" t="s">
        <v>26</v>
      </c>
      <c r="AE6" s="102" t="s">
        <v>27</v>
      </c>
      <c r="AF6" s="102" t="s">
        <v>3</v>
      </c>
      <c r="AG6" s="102" t="s">
        <v>124</v>
      </c>
      <c r="AH6" s="102" t="s">
        <v>126</v>
      </c>
      <c r="AI6" s="102" t="s">
        <v>135</v>
      </c>
      <c r="AJ6" s="102" t="s">
        <v>136</v>
      </c>
      <c r="AK6" s="102" t="s">
        <v>138</v>
      </c>
      <c r="AL6" s="102" t="s">
        <v>139</v>
      </c>
      <c r="AM6" s="102" t="s">
        <v>140</v>
      </c>
      <c r="AN6" s="102" t="s">
        <v>144</v>
      </c>
      <c r="AO6" s="102" t="s">
        <v>148</v>
      </c>
    </row>
    <row r="7" spans="1:45" x14ac:dyDescent="0.3">
      <c r="A7" s="1">
        <v>2</v>
      </c>
      <c r="B7" s="3" t="s">
        <v>51</v>
      </c>
      <c r="C7" s="102"/>
      <c r="D7" s="102"/>
      <c r="E7" s="102"/>
      <c r="H7" s="3" t="s">
        <v>51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Q7" s="96"/>
    </row>
    <row r="8" spans="1:45" ht="5.25" customHeight="1" x14ac:dyDescent="0.3">
      <c r="A8" s="1">
        <v>3</v>
      </c>
    </row>
    <row r="9" spans="1:45" x14ac:dyDescent="0.3">
      <c r="A9" s="1">
        <v>4</v>
      </c>
      <c r="B9" s="5" t="s">
        <v>68</v>
      </c>
      <c r="C9" s="8">
        <f>+HLOOKUP($C$6,$H$6:$AX$23,A9,FALSE)</f>
        <v>1.2344813399999999</v>
      </c>
      <c r="D9" s="8">
        <f>+HLOOKUP($D$6,$H$6:$AX$23,A9,FALSE)</f>
        <v>2.4388063899999999</v>
      </c>
      <c r="E9" s="36">
        <f>+D9/C9-1</f>
        <v>0.97557169231897833</v>
      </c>
      <c r="H9" s="5" t="s">
        <v>68</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Q9" s="54"/>
    </row>
    <row r="10" spans="1:45" x14ac:dyDescent="0.3">
      <c r="A10" s="1">
        <v>5</v>
      </c>
      <c r="B10" s="5" t="s">
        <v>69</v>
      </c>
      <c r="C10" s="8">
        <f t="shared" ref="C10:C23" si="0">+HLOOKUP($C$6,$H$6:$AX$23,A10,FALSE)</f>
        <v>-15.563348398480999</v>
      </c>
      <c r="D10" s="8">
        <f t="shared" ref="D10:D23" si="1">+HLOOKUP($D$6,$H$6:$AX$23,A10,FALSE)</f>
        <v>-14.6295752711749</v>
      </c>
      <c r="E10" s="36">
        <f t="shared" ref="E10:E13" si="2">+D10/C10-1</f>
        <v>-5.9998215255351872E-2</v>
      </c>
      <c r="H10" s="5" t="s">
        <v>69</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row>
    <row r="11" spans="1:45" x14ac:dyDescent="0.3">
      <c r="A11" s="1">
        <v>6</v>
      </c>
      <c r="B11" s="5" t="s">
        <v>70</v>
      </c>
      <c r="C11" s="8">
        <f t="shared" si="0"/>
        <v>-1.7878934124971002</v>
      </c>
      <c r="D11" s="8">
        <f t="shared" si="1"/>
        <v>0.29630127068600998</v>
      </c>
      <c r="E11" s="90">
        <f t="shared" si="2"/>
        <v>-1.1657264737455317</v>
      </c>
      <c r="H11" s="5" t="s">
        <v>70</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Q11" s="54"/>
    </row>
    <row r="12" spans="1:45" x14ac:dyDescent="0.3">
      <c r="A12" s="1">
        <v>7</v>
      </c>
      <c r="B12" s="5" t="s">
        <v>71</v>
      </c>
      <c r="C12" s="8">
        <f t="shared" si="0"/>
        <v>1.37134892</v>
      </c>
      <c r="D12" s="8">
        <f t="shared" si="1"/>
        <v>2.6146828799999997</v>
      </c>
      <c r="E12" s="36">
        <f t="shared" si="2"/>
        <v>0.90665033666267791</v>
      </c>
      <c r="H12" s="5" t="s">
        <v>71</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Q12" s="54"/>
    </row>
    <row r="13" spans="1:45" x14ac:dyDescent="0.3">
      <c r="A13" s="1">
        <v>8</v>
      </c>
      <c r="B13" s="5" t="s">
        <v>72</v>
      </c>
      <c r="C13" s="8">
        <f t="shared" si="0"/>
        <v>-21.3322415620468</v>
      </c>
      <c r="D13" s="8">
        <f t="shared" si="1"/>
        <v>-14.620499125869999</v>
      </c>
      <c r="E13" s="36">
        <f t="shared" si="2"/>
        <v>-0.31462902839605844</v>
      </c>
      <c r="H13" s="5" t="s">
        <v>72</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Q13" s="88"/>
      <c r="AR13" s="88"/>
      <c r="AS13" s="88"/>
    </row>
    <row r="14" spans="1:45" ht="5.25" customHeight="1" x14ac:dyDescent="0.3">
      <c r="A14" s="1">
        <v>9</v>
      </c>
      <c r="E14" s="39"/>
    </row>
    <row r="15" spans="1:45" x14ac:dyDescent="0.3">
      <c r="A15" s="1">
        <v>10</v>
      </c>
      <c r="B15" s="6" t="s">
        <v>73</v>
      </c>
      <c r="C15" s="9">
        <f t="shared" si="0"/>
        <v>-36.077653113024901</v>
      </c>
      <c r="D15" s="9">
        <f t="shared" si="1"/>
        <v>-23.90028385635889</v>
      </c>
      <c r="E15" s="38">
        <f>D15/C15-1</f>
        <v>-0.33753218976069399</v>
      </c>
      <c r="H15" s="6" t="s">
        <v>73</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SUM(AG9:AG13)</f>
        <v>-49.377285399999998</v>
      </c>
      <c r="AH15" s="9">
        <f t="shared" si="3"/>
        <v>-12.911768689999999</v>
      </c>
      <c r="AI15" s="9">
        <f t="shared" ref="AI15:AO15" si="4">SUM(AI9:AI13)</f>
        <v>-18.343538010000007</v>
      </c>
      <c r="AJ15" s="9">
        <f t="shared" si="4"/>
        <v>-20.672808236935449</v>
      </c>
      <c r="AK15" s="9">
        <f t="shared" si="4"/>
        <v>-36.077653113024901</v>
      </c>
      <c r="AL15" s="9">
        <f t="shared" si="4"/>
        <v>-33.462068015730701</v>
      </c>
      <c r="AM15" s="9">
        <f t="shared" si="4"/>
        <v>799.09281796000573</v>
      </c>
      <c r="AN15" s="9">
        <f t="shared" si="4"/>
        <v>-176.04105226939856</v>
      </c>
      <c r="AO15" s="9">
        <f t="shared" si="4"/>
        <v>-23.90028385635889</v>
      </c>
    </row>
    <row r="16" spans="1:45" ht="5.25" customHeight="1" x14ac:dyDescent="0.3">
      <c r="A16" s="1">
        <v>11</v>
      </c>
      <c r="E16" s="39"/>
    </row>
    <row r="17" spans="1:41" x14ac:dyDescent="0.3">
      <c r="A17" s="1">
        <v>12</v>
      </c>
      <c r="B17" s="6" t="s">
        <v>74</v>
      </c>
      <c r="C17" s="9">
        <f t="shared" si="0"/>
        <v>37.867890736447201</v>
      </c>
      <c r="D17" s="9">
        <f t="shared" si="1"/>
        <v>52.793280604383298</v>
      </c>
      <c r="E17" s="38">
        <f>D17/C17-1</f>
        <v>0.39414368156425095</v>
      </c>
      <c r="H17" s="6" t="s">
        <v>74</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89.164035010000006</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row>
    <row r="18" spans="1:41" ht="5.25" customHeight="1" x14ac:dyDescent="0.3">
      <c r="A18" s="1">
        <v>13</v>
      </c>
      <c r="E18" s="39"/>
    </row>
    <row r="19" spans="1:41" x14ac:dyDescent="0.3">
      <c r="A19" s="1">
        <v>14</v>
      </c>
      <c r="B19" s="5" t="s">
        <v>75</v>
      </c>
      <c r="C19" s="8">
        <f t="shared" si="0"/>
        <v>-74.396957033875495</v>
      </c>
      <c r="D19" s="8">
        <f t="shared" si="1"/>
        <v>-13.82311758242481</v>
      </c>
      <c r="E19" s="49" t="s">
        <v>43</v>
      </c>
      <c r="H19" s="5" t="s">
        <v>75</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row>
    <row r="20" spans="1:41" ht="5.25" customHeight="1" x14ac:dyDescent="0.3">
      <c r="A20" s="1">
        <v>15</v>
      </c>
      <c r="E20" s="39"/>
    </row>
    <row r="21" spans="1:41" x14ac:dyDescent="0.3">
      <c r="A21" s="1">
        <v>16</v>
      </c>
      <c r="B21" s="3" t="s">
        <v>76</v>
      </c>
      <c r="C21" s="10">
        <f t="shared" si="0"/>
        <v>-36.529066297428194</v>
      </c>
      <c r="D21" s="10">
        <f t="shared" si="1"/>
        <v>38.970163021958498</v>
      </c>
      <c r="E21" s="51" t="s">
        <v>43</v>
      </c>
      <c r="H21" s="3" t="s">
        <v>76</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5">+V17+V19</f>
        <v>79.445128930000024</v>
      </c>
      <c r="W21" s="17">
        <f t="shared" si="5"/>
        <v>70.00171270999995</v>
      </c>
      <c r="X21" s="17">
        <f t="shared" si="5"/>
        <v>73.361478960000056</v>
      </c>
      <c r="Y21" s="17">
        <f t="shared" si="5"/>
        <v>65.876825310000044</v>
      </c>
      <c r="Z21" s="17">
        <f t="shared" si="5"/>
        <v>48.131741559999966</v>
      </c>
      <c r="AA21" s="17">
        <f t="shared" si="5"/>
        <v>59.815981430000029</v>
      </c>
      <c r="AB21" s="17">
        <f t="shared" si="5"/>
        <v>57.997132570000005</v>
      </c>
      <c r="AC21" s="17">
        <f>+AC17+AC19</f>
        <v>61.372555550000001</v>
      </c>
      <c r="AD21" s="17">
        <f t="shared" ref="AD21:AG21" si="6">+AD17+AD19</f>
        <v>61.205108160000037</v>
      </c>
      <c r="AE21" s="17">
        <f t="shared" si="6"/>
        <v>63.603551690000003</v>
      </c>
      <c r="AF21" s="17">
        <f t="shared" si="6"/>
        <v>16.889084191313714</v>
      </c>
      <c r="AG21" s="17">
        <f t="shared" si="6"/>
        <v>47.022925539999996</v>
      </c>
      <c r="AH21" s="17">
        <f>+AH17+AH19</f>
        <v>58.716749100000001</v>
      </c>
      <c r="AI21" s="17">
        <f>62.20715213-AI46</f>
        <v>64.605734240000004</v>
      </c>
      <c r="AJ21" s="17">
        <f t="shared" ref="AJ21" si="7">+AJ17+AJ19</f>
        <v>66.30024252699377</v>
      </c>
      <c r="AK21" s="17">
        <f>+-41.2161135274282-AK44</f>
        <v>-36.529066297428194</v>
      </c>
      <c r="AL21" s="17">
        <f>32.8849414708408-AL44</f>
        <v>37.339180980840787</v>
      </c>
      <c r="AM21" s="17">
        <f>600.900945330946-AM44</f>
        <v>607.47271630094599</v>
      </c>
      <c r="AN21" s="17">
        <f>+-52.3878315885635-AN44</f>
        <v>-57.883245058563475</v>
      </c>
      <c r="AO21" s="17">
        <f>55.8799637719585-AO44</f>
        <v>38.970163021958498</v>
      </c>
    </row>
    <row r="22" spans="1:41" ht="5.25" customHeight="1" x14ac:dyDescent="0.3">
      <c r="A22" s="1">
        <v>17</v>
      </c>
      <c r="E22" s="39"/>
    </row>
    <row r="23" spans="1:41" x14ac:dyDescent="0.3">
      <c r="A23" s="1">
        <v>18</v>
      </c>
      <c r="B23" s="5" t="s">
        <v>77</v>
      </c>
      <c r="C23" s="8">
        <f t="shared" si="0"/>
        <v>-38.892376677428295</v>
      </c>
      <c r="D23" s="8">
        <f t="shared" si="1"/>
        <v>47.626031201958433</v>
      </c>
      <c r="E23" s="49" t="s">
        <v>43</v>
      </c>
      <c r="H23" s="5" t="s">
        <v>77</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v>47.626031201958433</v>
      </c>
    </row>
    <row r="24" spans="1:41" x14ac:dyDescent="0.3">
      <c r="AG24" s="48"/>
    </row>
    <row r="26" spans="1:41" x14ac:dyDescent="0.3">
      <c r="U26" s="33"/>
      <c r="V26" s="33"/>
      <c r="W26" s="33"/>
      <c r="X26" s="33"/>
      <c r="Y26" s="33"/>
      <c r="Z26" s="33"/>
      <c r="AA26" s="33"/>
      <c r="AB26" s="33"/>
      <c r="AC26" s="33"/>
      <c r="AD26" s="33"/>
      <c r="AE26" s="33"/>
      <c r="AF26" s="33"/>
      <c r="AG26" s="33"/>
      <c r="AH26" s="33"/>
      <c r="AI26" s="33"/>
      <c r="AJ26" s="33"/>
      <c r="AK26" s="33"/>
      <c r="AL26" s="33"/>
      <c r="AM26" s="33"/>
      <c r="AN26" s="33"/>
      <c r="AO26" s="33"/>
    </row>
    <row r="28" spans="1:41" ht="23.25" x14ac:dyDescent="0.35">
      <c r="B28" s="12" t="s">
        <v>45</v>
      </c>
      <c r="C28" s="13"/>
      <c r="D28" s="13"/>
      <c r="E28" s="13"/>
      <c r="H28" s="12" t="s">
        <v>45</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row>
    <row r="29" spans="1:41" ht="5.25" customHeight="1" x14ac:dyDescent="0.3"/>
    <row r="30" spans="1:41" ht="15.75" customHeight="1" x14ac:dyDescent="0.3">
      <c r="A30" s="1">
        <v>1</v>
      </c>
      <c r="B30" s="3" t="s">
        <v>92</v>
      </c>
      <c r="C30" s="102" t="s">
        <v>138</v>
      </c>
      <c r="D30" s="102" t="s">
        <v>148</v>
      </c>
      <c r="E30" s="102" t="s">
        <v>4</v>
      </c>
      <c r="H30" s="3" t="s">
        <v>92</v>
      </c>
      <c r="I30" s="102" t="s">
        <v>6</v>
      </c>
      <c r="J30" s="102" t="s">
        <v>7</v>
      </c>
      <c r="K30" s="102" t="s">
        <v>8</v>
      </c>
      <c r="L30" s="102" t="s">
        <v>9</v>
      </c>
      <c r="M30" s="102" t="s">
        <v>10</v>
      </c>
      <c r="N30" s="102" t="s">
        <v>11</v>
      </c>
      <c r="O30" s="102" t="s">
        <v>12</v>
      </c>
      <c r="P30" s="102" t="s">
        <v>13</v>
      </c>
      <c r="Q30" s="102" t="s">
        <v>14</v>
      </c>
      <c r="R30" s="102" t="s">
        <v>15</v>
      </c>
      <c r="S30" s="102" t="s">
        <v>16</v>
      </c>
      <c r="T30" s="102" t="s">
        <v>17</v>
      </c>
      <c r="U30" s="102" t="s">
        <v>18</v>
      </c>
      <c r="V30" s="102" t="s">
        <v>19</v>
      </c>
      <c r="W30" s="102" t="s">
        <v>20</v>
      </c>
      <c r="X30" s="102" t="s">
        <v>21</v>
      </c>
      <c r="Y30" s="102" t="s">
        <v>22</v>
      </c>
      <c r="Z30" s="102" t="s">
        <v>23</v>
      </c>
      <c r="AA30" s="102" t="s">
        <v>24</v>
      </c>
      <c r="AB30" s="102" t="s">
        <v>2</v>
      </c>
      <c r="AC30" s="102" t="s">
        <v>25</v>
      </c>
      <c r="AD30" s="102" t="s">
        <v>26</v>
      </c>
      <c r="AE30" s="102" t="s">
        <v>27</v>
      </c>
      <c r="AF30" s="102" t="s">
        <v>3</v>
      </c>
      <c r="AG30" s="102" t="s">
        <v>124</v>
      </c>
      <c r="AH30" s="102" t="s">
        <v>126</v>
      </c>
      <c r="AI30" s="102" t="s">
        <v>135</v>
      </c>
      <c r="AJ30" s="102" t="s">
        <v>136</v>
      </c>
      <c r="AK30" s="102" t="s">
        <v>138</v>
      </c>
      <c r="AL30" s="102" t="s">
        <v>139</v>
      </c>
      <c r="AM30" s="102" t="s">
        <v>140</v>
      </c>
      <c r="AN30" s="102" t="s">
        <v>144</v>
      </c>
      <c r="AO30" s="102" t="s">
        <v>148</v>
      </c>
    </row>
    <row r="31" spans="1:41" x14ac:dyDescent="0.3">
      <c r="A31" s="1">
        <v>2</v>
      </c>
      <c r="B31" s="3" t="s">
        <v>51</v>
      </c>
      <c r="C31" s="102"/>
      <c r="D31" s="102"/>
      <c r="E31" s="102"/>
      <c r="H31" s="3" t="s">
        <v>51</v>
      </c>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row>
    <row r="32" spans="1:41" ht="5.25" customHeight="1" x14ac:dyDescent="0.3">
      <c r="A32" s="1">
        <v>3</v>
      </c>
    </row>
    <row r="33" spans="1:41" x14ac:dyDescent="0.3">
      <c r="A33" s="1">
        <v>4</v>
      </c>
      <c r="B33" s="5" t="s">
        <v>68</v>
      </c>
      <c r="C33" s="8">
        <f>+HLOOKUP($C$30,$H$30:$AR$46,A33,FALSE)</f>
        <v>5.6700750000000001E-2</v>
      </c>
      <c r="D33" s="8">
        <f>+HLOOKUP($D$30,$H$30:$AR$46,A33,FALSE)</f>
        <v>8.7136889999999995E-2</v>
      </c>
      <c r="E33" s="36">
        <f>+D33/C33-1</f>
        <v>0.5367854922553934</v>
      </c>
      <c r="H33" s="5" t="s">
        <v>68</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row>
    <row r="34" spans="1:41" x14ac:dyDescent="0.3">
      <c r="A34" s="1">
        <v>5</v>
      </c>
      <c r="B34" s="5" t="s">
        <v>69</v>
      </c>
      <c r="C34" s="8">
        <f t="shared" ref="C34:C44" si="8">+HLOOKUP($C$30,$H$30:$AR$46,A34,FALSE)</f>
        <v>-6.62607137</v>
      </c>
      <c r="D34" s="8">
        <f t="shared" ref="D34:D46" si="9">+HLOOKUP($D$30,$H$30:$AR$46,A34,FALSE)</f>
        <v>-6.2768358500000003</v>
      </c>
      <c r="E34" s="36">
        <f t="shared" ref="E34:E38" si="10">+D34/C34-1</f>
        <v>-5.2706272012279842E-2</v>
      </c>
      <c r="H34" s="5" t="s">
        <v>69</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row>
    <row r="35" spans="1:41" x14ac:dyDescent="0.3">
      <c r="A35" s="1">
        <v>6</v>
      </c>
      <c r="B35" s="5" t="s">
        <v>70</v>
      </c>
      <c r="C35" s="8">
        <f t="shared" si="8"/>
        <v>-1.01300134</v>
      </c>
      <c r="D35" s="8">
        <f t="shared" si="9"/>
        <v>1.18526</v>
      </c>
      <c r="E35" s="49">
        <f t="shared" si="10"/>
        <v>-2.1700478105981578</v>
      </c>
      <c r="H35" s="5" t="s">
        <v>70</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row>
    <row r="36" spans="1:41" x14ac:dyDescent="0.3">
      <c r="A36" s="1">
        <v>7</v>
      </c>
      <c r="B36" s="5" t="s">
        <v>72</v>
      </c>
      <c r="C36" s="8">
        <f t="shared" si="8"/>
        <v>-0.2058789</v>
      </c>
      <c r="D36" s="8">
        <f t="shared" si="9"/>
        <v>-1.59591174</v>
      </c>
      <c r="E36" s="49">
        <f t="shared" si="10"/>
        <v>6.7517013156763515</v>
      </c>
      <c r="H36" s="5" t="s">
        <v>72</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row>
    <row r="37" spans="1:41" ht="5.25" customHeight="1" x14ac:dyDescent="0.3">
      <c r="A37" s="1">
        <v>8</v>
      </c>
      <c r="E37" s="85"/>
      <c r="S37" s="15"/>
    </row>
    <row r="38" spans="1:41" x14ac:dyDescent="0.3">
      <c r="A38" s="1">
        <v>9</v>
      </c>
      <c r="B38" s="6" t="s">
        <v>73</v>
      </c>
      <c r="C38" s="9">
        <f t="shared" si="8"/>
        <v>-7.7882508599999998</v>
      </c>
      <c r="D38" s="9">
        <f t="shared" si="9"/>
        <v>-6.6003506999999999</v>
      </c>
      <c r="E38" s="91">
        <f t="shared" si="10"/>
        <v>-0.15252464017318512</v>
      </c>
      <c r="H38" s="6" t="s">
        <v>73</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1">+SUM(AD33:AD36)</f>
        <v>-9.3882581300000005</v>
      </c>
      <c r="AE38" s="9">
        <f t="shared" si="11"/>
        <v>-10.223773319999999</v>
      </c>
      <c r="AF38" s="9">
        <f t="shared" si="11"/>
        <v>-6.8874426900000003</v>
      </c>
      <c r="AG38" s="9">
        <f t="shared" si="11"/>
        <v>-9.1497340500000011</v>
      </c>
      <c r="AH38" s="9">
        <f t="shared" si="11"/>
        <v>-9.1990178</v>
      </c>
      <c r="AI38" s="9">
        <f t="shared" si="11"/>
        <v>-6.503122450000002</v>
      </c>
      <c r="AJ38" s="9">
        <f t="shared" si="11"/>
        <v>-186.71408519999997</v>
      </c>
      <c r="AK38" s="9">
        <f t="shared" si="11"/>
        <v>-7.7882508599999998</v>
      </c>
      <c r="AL38" s="9">
        <f t="shared" si="11"/>
        <v>-6.8635648000000016</v>
      </c>
      <c r="AM38" s="9">
        <f t="shared" si="11"/>
        <v>-8.6812930899999969</v>
      </c>
      <c r="AN38" s="9">
        <f>+SUM(AN33:AN36)</f>
        <v>-6.0392674800000012</v>
      </c>
      <c r="AO38" s="9">
        <f>+SUM(AO33:AO36)</f>
        <v>-6.6003506999999999</v>
      </c>
    </row>
    <row r="39" spans="1:41" ht="5.25" customHeight="1" x14ac:dyDescent="0.3">
      <c r="A39" s="1">
        <v>10</v>
      </c>
      <c r="E39" s="85"/>
      <c r="S39" s="15"/>
    </row>
    <row r="40" spans="1:41" x14ac:dyDescent="0.3">
      <c r="A40" s="1">
        <v>11</v>
      </c>
      <c r="B40" s="6" t="s">
        <v>74</v>
      </c>
      <c r="C40" s="9">
        <f t="shared" si="8"/>
        <v>0.19442329999999686</v>
      </c>
      <c r="D40" s="9">
        <f t="shared" si="9"/>
        <v>9.4761633300000003</v>
      </c>
      <c r="E40" s="61" t="s">
        <v>43</v>
      </c>
      <c r="H40" s="6" t="s">
        <v>74</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10.776514029999991</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row>
    <row r="41" spans="1:41" ht="5.25" customHeight="1" x14ac:dyDescent="0.3">
      <c r="A41" s="1">
        <v>12</v>
      </c>
      <c r="E41" s="39"/>
      <c r="S41" s="15"/>
    </row>
    <row r="42" spans="1:41" x14ac:dyDescent="0.3">
      <c r="A42" s="1">
        <v>13</v>
      </c>
      <c r="B42" s="5" t="s">
        <v>75</v>
      </c>
      <c r="C42" s="8">
        <f t="shared" si="8"/>
        <v>-4.8814705299999996</v>
      </c>
      <c r="D42" s="8">
        <f t="shared" si="9"/>
        <v>7.4336374200000002</v>
      </c>
      <c r="E42" s="36">
        <f t="shared" ref="E42:E44" si="12">+D42/C42-1</f>
        <v>-2.5228274705982914</v>
      </c>
      <c r="H42" s="5" t="s">
        <v>75</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row>
    <row r="43" spans="1:41" ht="5.25" customHeight="1" x14ac:dyDescent="0.3">
      <c r="A43" s="1">
        <v>14</v>
      </c>
      <c r="E43" s="39"/>
      <c r="S43" s="15"/>
    </row>
    <row r="44" spans="1:41" x14ac:dyDescent="0.3">
      <c r="A44" s="1">
        <v>15</v>
      </c>
      <c r="B44" s="3" t="s">
        <v>76</v>
      </c>
      <c r="C44" s="50">
        <f t="shared" si="8"/>
        <v>-4.6870472300000028</v>
      </c>
      <c r="D44" s="50">
        <f t="shared" si="9"/>
        <v>16.909800749999999</v>
      </c>
      <c r="E44" s="51">
        <f t="shared" si="12"/>
        <v>-4.6077726381263684</v>
      </c>
      <c r="H44" s="3" t="s">
        <v>76</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9.3765140299999903</v>
      </c>
      <c r="AC44" s="17">
        <f>+AC40+AC42</f>
        <v>4.1620151400000056</v>
      </c>
      <c r="AD44" s="17">
        <f t="shared" ref="AD44:AG44" si="13">+AD40+AD42</f>
        <v>0.17004293000000326</v>
      </c>
      <c r="AE44" s="17">
        <f t="shared" si="13"/>
        <v>-8.9109858000000024</v>
      </c>
      <c r="AF44" s="17">
        <f t="shared" si="13"/>
        <v>2.5943269099999915</v>
      </c>
      <c r="AG44" s="17">
        <f t="shared" si="13"/>
        <v>-6.5632499299999978</v>
      </c>
      <c r="AH44" s="17">
        <v>-9.0495119099999997</v>
      </c>
      <c r="AI44" s="17">
        <v>-4.8452505800000036</v>
      </c>
      <c r="AJ44" s="17">
        <f t="shared" ref="AJ44:AM44" si="14">+AJ40+AJ42</f>
        <v>-129.17836936999996</v>
      </c>
      <c r="AK44" s="17">
        <f t="shared" si="14"/>
        <v>-4.6870472300000028</v>
      </c>
      <c r="AL44" s="17">
        <f t="shared" si="14"/>
        <v>-4.4542395099999865</v>
      </c>
      <c r="AM44" s="17">
        <f t="shared" si="14"/>
        <v>-6.5717709699999904</v>
      </c>
      <c r="AN44" s="17">
        <v>5.4954134699999768</v>
      </c>
      <c r="AO44" s="17">
        <v>16.909800749999999</v>
      </c>
    </row>
    <row r="45" spans="1:41" ht="5.25" customHeight="1" x14ac:dyDescent="0.3">
      <c r="A45" s="1">
        <v>16</v>
      </c>
      <c r="E45" s="39"/>
      <c r="S45" s="15"/>
    </row>
    <row r="46" spans="1:41" x14ac:dyDescent="0.3">
      <c r="A46" s="1">
        <v>17</v>
      </c>
      <c r="B46" s="5" t="s">
        <v>77</v>
      </c>
      <c r="C46" s="8">
        <f>+HLOOKUP($C$30,$H$30:$AR$47,A46,FALSE)</f>
        <v>-2.32373685</v>
      </c>
      <c r="D46" s="8">
        <f t="shared" si="9"/>
        <v>8.2599789799999996</v>
      </c>
      <c r="E46" s="49"/>
      <c r="H46" s="5" t="s">
        <v>77</v>
      </c>
      <c r="I46" s="18"/>
      <c r="J46" s="18"/>
      <c r="K46" s="18"/>
      <c r="L46" s="18"/>
      <c r="M46" s="18"/>
      <c r="N46" s="18"/>
      <c r="O46" s="18"/>
      <c r="P46" s="18"/>
      <c r="Q46" s="8">
        <f>+Q44*0.51</f>
        <v>3.860335737599998</v>
      </c>
      <c r="R46" s="8">
        <f t="shared" ref="R46:T46" si="15">+R44*0.51</f>
        <v>-0.2096214750000005</v>
      </c>
      <c r="S46" s="8">
        <f t="shared" si="15"/>
        <v>-0.75856034730000055</v>
      </c>
      <c r="T46" s="8">
        <f t="shared" si="15"/>
        <v>0.89423306670000302</v>
      </c>
      <c r="U46" s="8">
        <f>+U44-U47</f>
        <v>4.171250910000003</v>
      </c>
      <c r="V46" s="8">
        <f t="shared" ref="V46:AF46" si="16">+V44-V47</f>
        <v>-12.129309620000004</v>
      </c>
      <c r="W46" s="8">
        <f t="shared" si="16"/>
        <v>0.13145553999999782</v>
      </c>
      <c r="X46" s="8">
        <f t="shared" si="16"/>
        <v>3.2719259700000043</v>
      </c>
      <c r="Y46" s="8">
        <f t="shared" si="16"/>
        <v>-0.71925135000000906</v>
      </c>
      <c r="Z46" s="8">
        <f t="shared" si="16"/>
        <v>-1.6347808199999949</v>
      </c>
      <c r="AA46" s="8">
        <f t="shared" si="16"/>
        <v>-2.9987468100000014</v>
      </c>
      <c r="AB46" s="8">
        <f t="shared" si="16"/>
        <v>13.880985649999989</v>
      </c>
      <c r="AC46" s="8">
        <f t="shared" si="16"/>
        <v>3.0307739099999909</v>
      </c>
      <c r="AD46" s="8">
        <f t="shared" si="16"/>
        <v>0.11151201000000327</v>
      </c>
      <c r="AE46" s="8">
        <f t="shared" si="16"/>
        <v>-4.5163217200000023</v>
      </c>
      <c r="AF46" s="8">
        <f t="shared" si="16"/>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row>
    <row r="47" spans="1:41" x14ac:dyDescent="0.3">
      <c r="A47" s="1">
        <v>18</v>
      </c>
      <c r="B47" s="5" t="s">
        <v>78</v>
      </c>
      <c r="C47" s="8">
        <f>+HLOOKUP($C$30,$H$30:$AR$47,A47,FALSE)</f>
        <v>-2.3633103800000028</v>
      </c>
      <c r="D47" s="8">
        <f>+HLOOKUP($D$30,$H$30:$AR$47,A47,FALSE)</f>
        <v>8.6498217699999991</v>
      </c>
      <c r="E47" s="49"/>
      <c r="H47" s="5" t="s">
        <v>78</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row>
    <row r="48" spans="1:41" x14ac:dyDescent="0.3">
      <c r="U48" s="81"/>
      <c r="V48" s="81"/>
      <c r="W48" s="81"/>
      <c r="X48" s="81"/>
      <c r="Y48" s="81"/>
      <c r="Z48" s="81"/>
      <c r="AA48" s="81"/>
      <c r="AB48" s="81"/>
      <c r="AC48" s="81"/>
      <c r="AD48" s="81"/>
      <c r="AE48" s="81"/>
      <c r="AF48" s="81"/>
      <c r="AG48" s="81"/>
      <c r="AH48" s="81"/>
      <c r="AI48" s="81"/>
      <c r="AJ48" s="81"/>
      <c r="AK48" s="81"/>
      <c r="AL48" s="81"/>
      <c r="AM48" s="81"/>
      <c r="AN48" s="81"/>
      <c r="AO48" s="81"/>
    </row>
    <row r="49" spans="2:6" ht="183" customHeight="1" x14ac:dyDescent="0.3">
      <c r="B49" s="105" t="s">
        <v>125</v>
      </c>
      <c r="C49" s="105"/>
      <c r="D49" s="105"/>
      <c r="E49" s="105"/>
    </row>
    <row r="50" spans="2:6" x14ac:dyDescent="0.3">
      <c r="F50" s="1" t="s">
        <v>93</v>
      </c>
    </row>
  </sheetData>
  <mergeCells count="73">
    <mergeCell ref="AO6:AO7"/>
    <mergeCell ref="AO30:AO31"/>
    <mergeCell ref="V30:V31"/>
    <mergeCell ref="U30:U31"/>
    <mergeCell ref="V6:V7"/>
    <mergeCell ref="AC30:AC31"/>
    <mergeCell ref="R6:R7"/>
    <mergeCell ref="S6:S7"/>
    <mergeCell ref="T6:T7"/>
    <mergeCell ref="Q6:Q7"/>
    <mergeCell ref="U6:U7"/>
    <mergeCell ref="P6:P7"/>
    <mergeCell ref="O6:O7"/>
    <mergeCell ref="K30:K31"/>
    <mergeCell ref="L30:L31"/>
    <mergeCell ref="S30:S31"/>
    <mergeCell ref="T30:T31"/>
    <mergeCell ref="O30:O31"/>
    <mergeCell ref="P30:P31"/>
    <mergeCell ref="Q30:Q31"/>
    <mergeCell ref="R30:R31"/>
    <mergeCell ref="N6:N7"/>
    <mergeCell ref="B49:E49"/>
    <mergeCell ref="I30:I31"/>
    <mergeCell ref="J30:J31"/>
    <mergeCell ref="N30:N31"/>
    <mergeCell ref="J6:J7"/>
    <mergeCell ref="K6:K7"/>
    <mergeCell ref="L6:L7"/>
    <mergeCell ref="M6:M7"/>
    <mergeCell ref="C6:C7"/>
    <mergeCell ref="D6:D7"/>
    <mergeCell ref="E6:E7"/>
    <mergeCell ref="C30:C31"/>
    <mergeCell ref="D30:D31"/>
    <mergeCell ref="E30:E31"/>
    <mergeCell ref="AC6:AC7"/>
    <mergeCell ref="AB6:AB7"/>
    <mergeCell ref="AB30:AB31"/>
    <mergeCell ref="Z6:Z7"/>
    <mergeCell ref="Z30:Z31"/>
    <mergeCell ref="W6:W7"/>
    <mergeCell ref="W30:W31"/>
    <mergeCell ref="Y6:Y7"/>
    <mergeCell ref="Y30:Y31"/>
    <mergeCell ref="AA6:AA7"/>
    <mergeCell ref="AA30:AA31"/>
    <mergeCell ref="X6:X7"/>
    <mergeCell ref="X30:X31"/>
    <mergeCell ref="I6:I7"/>
    <mergeCell ref="M30:M31"/>
    <mergeCell ref="AG6:AG7"/>
    <mergeCell ref="AG30:AG31"/>
    <mergeCell ref="AE30:AE31"/>
    <mergeCell ref="AD6:AD7"/>
    <mergeCell ref="AD30:AD31"/>
    <mergeCell ref="AF30:AF31"/>
    <mergeCell ref="AF6:AF7"/>
    <mergeCell ref="AE6:AE7"/>
    <mergeCell ref="AI6:AI7"/>
    <mergeCell ref="AI30:AI31"/>
    <mergeCell ref="AH6:AH7"/>
    <mergeCell ref="AH30:AH31"/>
    <mergeCell ref="AJ6:AJ7"/>
    <mergeCell ref="AJ30:AJ31"/>
    <mergeCell ref="AN6:AN7"/>
    <mergeCell ref="AN30:AN31"/>
    <mergeCell ref="AL6:AL7"/>
    <mergeCell ref="AL30:AL31"/>
    <mergeCell ref="AK6:AK7"/>
    <mergeCell ref="AK30:AK31"/>
    <mergeCell ref="AM6:AM7"/>
    <mergeCell ref="AM30:AM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AD49"/>
  <sheetViews>
    <sheetView topLeftCell="B1" zoomScale="90" zoomScaleNormal="90" workbookViewId="0">
      <selection activeCell="D6" sqref="D6:D7"/>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24" width="11.42578125" style="1" customWidth="1"/>
    <col min="25" max="16384" width="11.42578125" style="1"/>
  </cols>
  <sheetData>
    <row r="4" spans="1:30"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row>
    <row r="5" spans="1:30" ht="7.5" customHeight="1" x14ac:dyDescent="0.3"/>
    <row r="6" spans="1:30" ht="15.75" customHeight="1" x14ac:dyDescent="0.3">
      <c r="A6" s="1">
        <v>1</v>
      </c>
      <c r="B6" s="3" t="s">
        <v>94</v>
      </c>
      <c r="C6" s="102" t="s">
        <v>138</v>
      </c>
      <c r="D6" s="102" t="s">
        <v>148</v>
      </c>
      <c r="E6" s="102" t="s">
        <v>4</v>
      </c>
      <c r="H6" s="3" t="s">
        <v>94</v>
      </c>
      <c r="I6" s="102" t="s">
        <v>18</v>
      </c>
      <c r="J6" s="102" t="s">
        <v>19</v>
      </c>
      <c r="K6" s="102" t="s">
        <v>20</v>
      </c>
      <c r="L6" s="102" t="s">
        <v>21</v>
      </c>
      <c r="M6" s="102" t="s">
        <v>22</v>
      </c>
      <c r="N6" s="102" t="s">
        <v>23</v>
      </c>
      <c r="O6" s="102" t="s">
        <v>24</v>
      </c>
      <c r="P6" s="102" t="s">
        <v>2</v>
      </c>
      <c r="Q6" s="102" t="s">
        <v>25</v>
      </c>
      <c r="R6" s="102" t="s">
        <v>26</v>
      </c>
      <c r="S6" s="102" t="s">
        <v>27</v>
      </c>
      <c r="T6" s="102" t="s">
        <v>3</v>
      </c>
      <c r="U6" s="102" t="s">
        <v>124</v>
      </c>
      <c r="V6" s="102" t="s">
        <v>126</v>
      </c>
      <c r="W6" s="102" t="s">
        <v>135</v>
      </c>
      <c r="X6" s="102" t="s">
        <v>136</v>
      </c>
      <c r="Y6" s="102" t="s">
        <v>138</v>
      </c>
      <c r="Z6" s="102" t="s">
        <v>139</v>
      </c>
      <c r="AA6" s="102" t="s">
        <v>140</v>
      </c>
      <c r="AB6" s="102" t="s">
        <v>144</v>
      </c>
      <c r="AC6" s="102" t="s">
        <v>148</v>
      </c>
    </row>
    <row r="7" spans="1:30" x14ac:dyDescent="0.3">
      <c r="A7" s="1">
        <v>2</v>
      </c>
      <c r="B7" s="3" t="s">
        <v>51</v>
      </c>
      <c r="C7" s="102"/>
      <c r="D7" s="102"/>
      <c r="E7" s="102"/>
      <c r="H7" s="3" t="s">
        <v>51</v>
      </c>
      <c r="I7" s="102"/>
      <c r="J7" s="102"/>
      <c r="K7" s="102"/>
      <c r="L7" s="102"/>
      <c r="M7" s="102"/>
      <c r="N7" s="102"/>
      <c r="O7" s="102"/>
      <c r="P7" s="102"/>
      <c r="Q7" s="102"/>
      <c r="R7" s="102"/>
      <c r="S7" s="102"/>
      <c r="T7" s="102"/>
      <c r="U7" s="102"/>
      <c r="V7" s="102"/>
      <c r="W7" s="102"/>
      <c r="X7" s="102"/>
      <c r="Y7" s="102"/>
      <c r="Z7" s="102"/>
      <c r="AA7" s="102"/>
      <c r="AB7" s="102"/>
      <c r="AC7" s="102"/>
    </row>
    <row r="8" spans="1:30" ht="4.5" customHeight="1" x14ac:dyDescent="0.3">
      <c r="A8" s="1">
        <v>3</v>
      </c>
    </row>
    <row r="9" spans="1:30" x14ac:dyDescent="0.3">
      <c r="A9" s="1">
        <v>4</v>
      </c>
      <c r="B9" s="28" t="s">
        <v>95</v>
      </c>
      <c r="C9" s="14">
        <f>+HLOOKUP($C$6,$H$6:$AF$18,A9,FALSE)</f>
        <v>1771.1374382460499</v>
      </c>
      <c r="D9" s="14">
        <f>+HLOOKUP($D$6,$H$6:$AF$18,A9,FALSE)</f>
        <v>1687.1599999999999</v>
      </c>
      <c r="E9" s="36">
        <f>D9/C9-1</f>
        <v>-4.7414410893607761E-2</v>
      </c>
      <c r="H9" s="5" t="s">
        <v>95</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c r="Y9" s="14">
        <f>1835.53080955605-Y28</f>
        <v>1771.1374382460499</v>
      </c>
      <c r="Z9" s="14">
        <f>1606.13921990478-Z28</f>
        <v>1529.6106433047801</v>
      </c>
      <c r="AA9" s="14">
        <f>2162.29712954196-AA28</f>
        <v>2101.5483796752483</v>
      </c>
      <c r="AB9" s="14">
        <f>1766.43577610322-AB28</f>
        <v>1701.09212012322</v>
      </c>
      <c r="AC9" s="14">
        <v>1687.1599999999999</v>
      </c>
    </row>
    <row r="10" spans="1:30" x14ac:dyDescent="0.3">
      <c r="A10" s="1">
        <v>5</v>
      </c>
      <c r="B10" s="28" t="s">
        <v>96</v>
      </c>
      <c r="C10" s="14">
        <f t="shared" ref="C10:C18" si="0">+HLOOKUP($C$6,$H$6:$AF$18,A10,FALSE)</f>
        <v>4188.5855019600003</v>
      </c>
      <c r="D10" s="14">
        <f t="shared" ref="D10:D18" si="1">+HLOOKUP($D$6,$H$6:$AF$18,A10,FALSE)</f>
        <v>4091.4499999999994</v>
      </c>
      <c r="E10" s="36">
        <f>D10/C10-1</f>
        <v>-2.3190526232435116E-2</v>
      </c>
      <c r="H10" s="28" t="s">
        <v>96</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c r="Y10" s="14">
        <f>4858.214-Y29</f>
        <v>4188.5855019600003</v>
      </c>
      <c r="Z10" s="14">
        <f>4861.638-Z29</f>
        <v>4202.1238247000001</v>
      </c>
      <c r="AA10" s="14">
        <f>4981.939-AA29</f>
        <v>4336.9985660196135</v>
      </c>
      <c r="AB10" s="14">
        <f>4836.072-AB29</f>
        <v>4196.7211968600004</v>
      </c>
      <c r="AC10" s="14">
        <v>4091.4499999999994</v>
      </c>
    </row>
    <row r="11" spans="1:30" ht="5.25" customHeight="1" x14ac:dyDescent="0.3">
      <c r="A11" s="1">
        <v>6</v>
      </c>
      <c r="C11" s="15">
        <f t="shared" si="0"/>
        <v>0</v>
      </c>
      <c r="D11" s="15">
        <f t="shared" si="1"/>
        <v>0</v>
      </c>
      <c r="E11" s="40"/>
      <c r="I11" s="15"/>
      <c r="J11" s="15"/>
      <c r="K11" s="40"/>
      <c r="L11" s="40"/>
      <c r="M11" s="40"/>
      <c r="N11" s="40"/>
      <c r="O11" s="40"/>
      <c r="P11" s="40"/>
      <c r="Q11" s="40"/>
      <c r="R11" s="40"/>
      <c r="S11" s="40"/>
      <c r="T11" s="40"/>
      <c r="U11" s="40"/>
      <c r="V11" s="40"/>
      <c r="W11" s="40"/>
      <c r="X11" s="40"/>
      <c r="Y11" s="40"/>
      <c r="Z11" s="40"/>
      <c r="AA11" s="40"/>
      <c r="AB11" s="40"/>
      <c r="AC11" s="40"/>
    </row>
    <row r="12" spans="1:30" x14ac:dyDescent="0.3">
      <c r="A12" s="1">
        <v>7</v>
      </c>
      <c r="B12" s="6" t="s">
        <v>97</v>
      </c>
      <c r="C12" s="9">
        <f t="shared" si="0"/>
        <v>5959.7229402060502</v>
      </c>
      <c r="D12" s="9">
        <f t="shared" si="1"/>
        <v>5778.6099999999988</v>
      </c>
      <c r="E12" s="38">
        <f>D12/C12-1</f>
        <v>-3.0389489918098422E-2</v>
      </c>
      <c r="H12" s="6" t="s">
        <v>97</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AA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c r="Y12" s="9">
        <f t="shared" si="4"/>
        <v>5959.7229402060502</v>
      </c>
      <c r="Z12" s="9">
        <f t="shared" si="4"/>
        <v>5731.73446800478</v>
      </c>
      <c r="AA12" s="9">
        <f t="shared" si="4"/>
        <v>6438.5469456948613</v>
      </c>
      <c r="AB12" s="9">
        <f>AB10+AB9</f>
        <v>5897.8133169832199</v>
      </c>
      <c r="AC12" s="9">
        <f>AC10+AC9</f>
        <v>5778.6099999999988</v>
      </c>
      <c r="AD12" s="94"/>
    </row>
    <row r="13" spans="1:30" ht="5.25" customHeight="1" x14ac:dyDescent="0.3">
      <c r="A13" s="1">
        <v>8</v>
      </c>
    </row>
    <row r="14" spans="1:30" x14ac:dyDescent="0.3">
      <c r="A14" s="1">
        <v>9</v>
      </c>
      <c r="B14" s="5" t="s">
        <v>98</v>
      </c>
      <c r="C14" s="14">
        <f t="shared" si="0"/>
        <v>341.73667789000001</v>
      </c>
      <c r="D14" s="14">
        <f t="shared" si="1"/>
        <v>399.39000000000004</v>
      </c>
      <c r="E14" s="36">
        <f>D14/C14-1</f>
        <v>0.16870686069160468</v>
      </c>
      <c r="H14" s="5" t="s">
        <v>98</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c r="Y14" s="14">
        <f>429.657122-Y33</f>
        <v>341.73667789000001</v>
      </c>
      <c r="Z14" s="14">
        <f>427.219-Z33</f>
        <v>331.30202495999998</v>
      </c>
      <c r="AA14" s="14">
        <f>571.603-AA33</f>
        <v>479.19844292999994</v>
      </c>
      <c r="AB14" s="14">
        <f>679.004-AB33</f>
        <v>592.82991433000007</v>
      </c>
      <c r="AC14" s="14">
        <v>399.39000000000004</v>
      </c>
      <c r="AD14" s="54"/>
    </row>
    <row r="15" spans="1:30" x14ac:dyDescent="0.3">
      <c r="A15" s="1">
        <v>10</v>
      </c>
      <c r="B15" s="5" t="s">
        <v>99</v>
      </c>
      <c r="C15" s="14">
        <f t="shared" si="0"/>
        <v>2322.7600000000002</v>
      </c>
      <c r="D15" s="14">
        <f t="shared" si="1"/>
        <v>2719.21</v>
      </c>
      <c r="E15" s="36">
        <f>D15/C15-1</f>
        <v>0.17068056966712009</v>
      </c>
      <c r="H15" s="5" t="s">
        <v>99</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c r="Y15" s="14">
        <f>2717.96-Y34</f>
        <v>2322.7600000000002</v>
      </c>
      <c r="Z15" s="14">
        <f>2705.976-Z34</f>
        <v>2312.3760000000002</v>
      </c>
      <c r="AA15" s="14">
        <f>2649.348-AA34</f>
        <v>2275.9437433200001</v>
      </c>
      <c r="AB15" s="14">
        <f>3082.078-AB34</f>
        <v>2708.91780522</v>
      </c>
      <c r="AC15" s="14">
        <v>2719.21</v>
      </c>
      <c r="AD15" s="54"/>
    </row>
    <row r="16" spans="1:30" x14ac:dyDescent="0.3">
      <c r="A16" s="1">
        <v>11</v>
      </c>
      <c r="B16" s="5" t="s">
        <v>100</v>
      </c>
      <c r="C16" s="14">
        <f t="shared" si="0"/>
        <v>3295.19686215</v>
      </c>
      <c r="D16" s="14">
        <f t="shared" si="1"/>
        <v>2531.08</v>
      </c>
      <c r="E16" s="36">
        <f t="shared" ref="E16" si="5">D16/C16-1</f>
        <v>-0.23188807652949772</v>
      </c>
      <c r="H16" s="5" t="s">
        <v>100</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c r="Y16" s="14">
        <f>3546.10960949-Y35</f>
        <v>3295.19686215</v>
      </c>
      <c r="Z16" s="14">
        <f>3334.495-Z35</f>
        <v>3088.0364921699997</v>
      </c>
      <c r="AA16" s="14">
        <f>3923.286-AA35</f>
        <v>3683.4401203254592</v>
      </c>
      <c r="AB16" s="14">
        <f>2841.426-AB35</f>
        <v>2596.0407430499999</v>
      </c>
      <c r="AC16" s="14">
        <v>2531.08</v>
      </c>
      <c r="AD16" s="88"/>
    </row>
    <row r="17" spans="1:30" ht="4.5" customHeight="1" x14ac:dyDescent="0.3">
      <c r="A17" s="1">
        <v>12</v>
      </c>
      <c r="C17" s="1">
        <f t="shared" si="0"/>
        <v>0</v>
      </c>
      <c r="D17" s="39">
        <f t="shared" si="1"/>
        <v>0</v>
      </c>
      <c r="E17" s="39"/>
    </row>
    <row r="18" spans="1:30" x14ac:dyDescent="0.3">
      <c r="A18" s="1">
        <v>13</v>
      </c>
      <c r="B18" s="6" t="s">
        <v>101</v>
      </c>
      <c r="C18" s="9">
        <f t="shared" si="0"/>
        <v>5959.6935400399998</v>
      </c>
      <c r="D18" s="9">
        <f t="shared" si="1"/>
        <v>5649.68</v>
      </c>
      <c r="E18" s="38">
        <f>D18/C18-1</f>
        <v>-5.201836939385962E-2</v>
      </c>
      <c r="H18" s="6" t="s">
        <v>101</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Y18" si="9">SUM(S14:S16)</f>
        <v>5873.0599255899997</v>
      </c>
      <c r="T18" s="9">
        <f t="shared" si="9"/>
        <v>5784.1357809500005</v>
      </c>
      <c r="U18" s="9">
        <f t="shared" si="9"/>
        <v>5931.17600322</v>
      </c>
      <c r="V18" s="9">
        <f t="shared" si="9"/>
        <v>5769.7528770700001</v>
      </c>
      <c r="W18" s="9">
        <f t="shared" si="9"/>
        <v>5843.1204401699997</v>
      </c>
      <c r="X18" s="9">
        <f t="shared" si="9"/>
        <v>5876.7761575741733</v>
      </c>
      <c r="Y18" s="9">
        <f t="shared" si="9"/>
        <v>5959.6935400399998</v>
      </c>
      <c r="Z18" s="9">
        <f>SUM(Z14:Z16)</f>
        <v>5731.7145171299999</v>
      </c>
      <c r="AA18" s="9">
        <f>SUM(AA14:AA16)</f>
        <v>6438.5823065754594</v>
      </c>
      <c r="AB18" s="9">
        <f>SUM(AB14:AB16)</f>
        <v>5897.7884625999995</v>
      </c>
      <c r="AC18" s="9">
        <f>SUM(AC14:AC16)</f>
        <v>5649.68</v>
      </c>
    </row>
    <row r="23" spans="1:30" ht="23.25" x14ac:dyDescent="0.35">
      <c r="B23" s="12" t="s">
        <v>45</v>
      </c>
      <c r="C23" s="13"/>
      <c r="D23" s="13"/>
      <c r="E23" s="13"/>
      <c r="H23" s="12" t="s">
        <v>45</v>
      </c>
      <c r="I23" s="13"/>
      <c r="J23" s="13"/>
      <c r="K23" s="13"/>
      <c r="L23" s="13"/>
      <c r="M23" s="13"/>
      <c r="N23" s="13"/>
      <c r="O23" s="13"/>
      <c r="P23" s="13"/>
      <c r="Q23" s="13"/>
      <c r="R23" s="13"/>
      <c r="S23" s="13"/>
      <c r="T23" s="13"/>
      <c r="U23" s="13"/>
      <c r="V23" s="13"/>
      <c r="W23" s="13"/>
      <c r="X23" s="13"/>
      <c r="Y23" s="13"/>
      <c r="Z23" s="13"/>
      <c r="AA23" s="13"/>
      <c r="AB23" s="13"/>
      <c r="AC23" s="13"/>
    </row>
    <row r="24" spans="1:30" ht="7.5" customHeight="1" x14ac:dyDescent="0.3"/>
    <row r="25" spans="1:30" x14ac:dyDescent="0.3">
      <c r="A25" s="1">
        <v>1</v>
      </c>
      <c r="B25" s="3" t="s">
        <v>94</v>
      </c>
      <c r="C25" s="107" t="s">
        <v>138</v>
      </c>
      <c r="D25" s="102" t="s">
        <v>148</v>
      </c>
      <c r="E25" s="102" t="s">
        <v>4</v>
      </c>
      <c r="H25" s="3" t="s">
        <v>94</v>
      </c>
      <c r="I25" s="102" t="s">
        <v>18</v>
      </c>
      <c r="J25" s="102" t="s">
        <v>19</v>
      </c>
      <c r="K25" s="102" t="s">
        <v>20</v>
      </c>
      <c r="L25" s="102" t="s">
        <v>21</v>
      </c>
      <c r="M25" s="102" t="s">
        <v>22</v>
      </c>
      <c r="N25" s="102" t="s">
        <v>23</v>
      </c>
      <c r="O25" s="102" t="s">
        <v>24</v>
      </c>
      <c r="P25" s="102" t="s">
        <v>2</v>
      </c>
      <c r="Q25" s="102" t="s">
        <v>25</v>
      </c>
      <c r="R25" s="102" t="s">
        <v>26</v>
      </c>
      <c r="S25" s="102" t="s">
        <v>27</v>
      </c>
      <c r="T25" s="102" t="s">
        <v>3</v>
      </c>
      <c r="U25" s="102" t="s">
        <v>124</v>
      </c>
      <c r="V25" s="102" t="s">
        <v>126</v>
      </c>
      <c r="W25" s="102" t="s">
        <v>135</v>
      </c>
      <c r="X25" s="102" t="s">
        <v>136</v>
      </c>
      <c r="Y25" s="102" t="s">
        <v>138</v>
      </c>
      <c r="Z25" s="102" t="s">
        <v>139</v>
      </c>
      <c r="AA25" s="102" t="s">
        <v>140</v>
      </c>
      <c r="AB25" s="102" t="s">
        <v>144</v>
      </c>
      <c r="AC25" s="102" t="s">
        <v>148</v>
      </c>
    </row>
    <row r="26" spans="1:30" x14ac:dyDescent="0.3">
      <c r="A26" s="1">
        <v>2</v>
      </c>
      <c r="B26" s="3" t="s">
        <v>51</v>
      </c>
      <c r="C26" s="107"/>
      <c r="D26" s="102"/>
      <c r="E26" s="102"/>
      <c r="H26" s="3" t="s">
        <v>51</v>
      </c>
      <c r="I26" s="102"/>
      <c r="J26" s="102"/>
      <c r="K26" s="102"/>
      <c r="L26" s="102"/>
      <c r="M26" s="102"/>
      <c r="N26" s="102"/>
      <c r="O26" s="102"/>
      <c r="P26" s="102"/>
      <c r="Q26" s="102"/>
      <c r="R26" s="102"/>
      <c r="S26" s="102"/>
      <c r="T26" s="102"/>
      <c r="U26" s="102"/>
      <c r="V26" s="102"/>
      <c r="W26" s="102"/>
      <c r="X26" s="102"/>
      <c r="Y26" s="102"/>
      <c r="Z26" s="102"/>
      <c r="AA26" s="102"/>
      <c r="AB26" s="102"/>
      <c r="AC26" s="102"/>
      <c r="AD26" s="54"/>
    </row>
    <row r="27" spans="1:30" ht="4.5" customHeight="1" x14ac:dyDescent="0.3">
      <c r="A27" s="1">
        <v>3</v>
      </c>
    </row>
    <row r="28" spans="1:30" x14ac:dyDescent="0.3">
      <c r="A28" s="1">
        <v>4</v>
      </c>
      <c r="B28" s="5" t="s">
        <v>95</v>
      </c>
      <c r="C28" s="7">
        <f t="shared" ref="C28:C35" si="10">+HLOOKUP($C$25,$H$25:$Y$37,A28,FALSE)</f>
        <v>64.393371309999992</v>
      </c>
      <c r="D28" s="7">
        <f>+HLOOKUP($D$25,$H$25:$BC$37,A28,FALSE)</f>
        <v>65.586164040637385</v>
      </c>
      <c r="E28" s="36">
        <f>D28/C28-1</f>
        <v>1.8523532878797377E-2</v>
      </c>
      <c r="H28" s="5" t="s">
        <v>95</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c r="Y28" s="14">
        <v>64.393371309999992</v>
      </c>
      <c r="Z28" s="14">
        <v>76.528576600000008</v>
      </c>
      <c r="AA28" s="14">
        <v>60.748749866711798</v>
      </c>
      <c r="AB28" s="14">
        <v>65.343655979999994</v>
      </c>
      <c r="AC28" s="14">
        <v>65.586164040637385</v>
      </c>
    </row>
    <row r="29" spans="1:30" x14ac:dyDescent="0.3">
      <c r="A29" s="1">
        <v>5</v>
      </c>
      <c r="B29" s="5" t="s">
        <v>96</v>
      </c>
      <c r="C29" s="7">
        <f t="shared" si="10"/>
        <v>669.62849803999984</v>
      </c>
      <c r="D29" s="7">
        <f>+HLOOKUP($D$25,$H$25:$BE$37,A29,FALSE)</f>
        <v>644.24248148931088</v>
      </c>
      <c r="E29" s="36">
        <f>D29/C29-1</f>
        <v>-3.7910597629870479E-2</v>
      </c>
      <c r="H29" s="5" t="s">
        <v>96</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c r="Y29" s="14">
        <v>669.62849803999984</v>
      </c>
      <c r="Z29" s="14">
        <v>659.51417529999992</v>
      </c>
      <c r="AA29" s="14">
        <v>644.9404339803865</v>
      </c>
      <c r="AB29" s="14">
        <v>639.35080313999947</v>
      </c>
      <c r="AC29" s="14">
        <v>644.24248148931088</v>
      </c>
    </row>
    <row r="30" spans="1:30" ht="4.5" customHeight="1" x14ac:dyDescent="0.3">
      <c r="A30" s="1">
        <v>6</v>
      </c>
      <c r="C30" s="1">
        <f t="shared" si="10"/>
        <v>0</v>
      </c>
      <c r="E30" s="39"/>
    </row>
    <row r="31" spans="1:30" x14ac:dyDescent="0.3">
      <c r="A31" s="1">
        <v>7</v>
      </c>
      <c r="B31" s="6" t="s">
        <v>97</v>
      </c>
      <c r="C31" s="9">
        <f t="shared" si="10"/>
        <v>734.02186934999986</v>
      </c>
      <c r="D31" s="9">
        <f>+HLOOKUP($D$25,$H$25:$AQ$37,A31,FALSE)</f>
        <v>709.82864552994829</v>
      </c>
      <c r="E31" s="38">
        <f>D31/C31-1</f>
        <v>-3.2959813365609159E-2</v>
      </c>
      <c r="H31" s="6" t="s">
        <v>97</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AA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c r="Y31" s="9">
        <f t="shared" si="14"/>
        <v>734.02186934999986</v>
      </c>
      <c r="Z31" s="9">
        <f t="shared" si="14"/>
        <v>736.04275189999998</v>
      </c>
      <c r="AA31" s="9">
        <f t="shared" si="14"/>
        <v>705.68918384709832</v>
      </c>
      <c r="AB31" s="9">
        <f>+AB28+AB29</f>
        <v>704.69445911999946</v>
      </c>
      <c r="AC31" s="9">
        <f>+AC28+AC29</f>
        <v>709.82864552994829</v>
      </c>
    </row>
    <row r="32" spans="1:30" ht="4.5" customHeight="1" x14ac:dyDescent="0.3">
      <c r="A32" s="1">
        <v>8</v>
      </c>
      <c r="C32" s="1">
        <f t="shared" si="10"/>
        <v>0</v>
      </c>
      <c r="E32" s="39"/>
    </row>
    <row r="33" spans="1:29" x14ac:dyDescent="0.3">
      <c r="A33" s="1">
        <v>9</v>
      </c>
      <c r="B33" s="5" t="s">
        <v>98</v>
      </c>
      <c r="C33" s="7">
        <f t="shared" si="10"/>
        <v>87.920444109999991</v>
      </c>
      <c r="D33" s="7">
        <f>+HLOOKUP($D$25,$H$25:$AO$36,A33,FALSE)</f>
        <v>90.871895529999989</v>
      </c>
      <c r="E33" s="36">
        <f>D33/C33-1</f>
        <v>3.3569569056172588E-2</v>
      </c>
      <c r="H33" s="5" t="s">
        <v>98</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c r="Y33" s="14">
        <v>87.920444109999991</v>
      </c>
      <c r="Z33" s="14">
        <v>95.916975039999997</v>
      </c>
      <c r="AA33" s="14">
        <v>92.404557069999981</v>
      </c>
      <c r="AB33" s="14">
        <v>86.174085669999997</v>
      </c>
      <c r="AC33" s="14">
        <v>90.871895529999989</v>
      </c>
    </row>
    <row r="34" spans="1:29" x14ac:dyDescent="0.3">
      <c r="A34" s="1">
        <v>10</v>
      </c>
      <c r="B34" s="5" t="s">
        <v>102</v>
      </c>
      <c r="C34" s="7">
        <f t="shared" si="10"/>
        <v>395.2</v>
      </c>
      <c r="D34" s="7">
        <f>+HLOOKUP($D$25,$H$25:$AN$37,A34,FALSE)</f>
        <v>356.72701661999997</v>
      </c>
      <c r="E34" s="36">
        <f t="shared" ref="E34:E35" si="15">D34/C34-1</f>
        <v>-9.735066644736845E-2</v>
      </c>
      <c r="H34" s="5" t="s">
        <v>102</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c r="Y34" s="14">
        <v>395.2</v>
      </c>
      <c r="Z34" s="14">
        <v>393.59999999999997</v>
      </c>
      <c r="AA34" s="14">
        <v>373.40425668</v>
      </c>
      <c r="AB34" s="14">
        <v>373.16019477999998</v>
      </c>
      <c r="AC34" s="14">
        <v>356.72701661999997</v>
      </c>
    </row>
    <row r="35" spans="1:29" x14ac:dyDescent="0.3">
      <c r="A35" s="1">
        <v>11</v>
      </c>
      <c r="B35" s="5" t="s">
        <v>103</v>
      </c>
      <c r="C35" s="7">
        <f t="shared" si="10"/>
        <v>250.91274734000004</v>
      </c>
      <c r="D35" s="7">
        <f>+HLOOKUP($D$25,$H$25:$AV$37,A35,FALSE)</f>
        <v>262.22684147986359</v>
      </c>
      <c r="E35" s="36">
        <f t="shared" si="15"/>
        <v>4.5091747070675314E-2</v>
      </c>
      <c r="H35" s="5" t="s">
        <v>103</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c r="Y35" s="14">
        <v>250.91274734000004</v>
      </c>
      <c r="Z35" s="14">
        <v>246.45850783000003</v>
      </c>
      <c r="AA35" s="14">
        <v>239.84587967454101</v>
      </c>
      <c r="AB35" s="14">
        <v>245.38525695000001</v>
      </c>
      <c r="AC35" s="14">
        <v>262.22684147986359</v>
      </c>
    </row>
    <row r="36" spans="1:29" ht="4.5" customHeight="1" x14ac:dyDescent="0.3">
      <c r="A36" s="1">
        <v>12</v>
      </c>
      <c r="E36" s="39"/>
    </row>
    <row r="37" spans="1:29" x14ac:dyDescent="0.3">
      <c r="A37" s="1">
        <v>13</v>
      </c>
      <c r="B37" s="6" t="s">
        <v>101</v>
      </c>
      <c r="C37" s="9">
        <f>+HLOOKUP($C$25,$H$25:$Y$37,A37,FALSE)</f>
        <v>734.03319145</v>
      </c>
      <c r="D37" s="9">
        <f>+HLOOKUP($D$25,$H$25:$AL$37,A37,FALSE)</f>
        <v>709.82575362986358</v>
      </c>
      <c r="E37" s="38">
        <f>D37/C37-1</f>
        <v>-3.2978669223822643E-2</v>
      </c>
      <c r="H37" s="6" t="s">
        <v>101</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c r="Y37" s="9">
        <f t="shared" ref="Y37" si="20">SUM(Y33:Y35)</f>
        <v>734.03319145</v>
      </c>
      <c r="Z37" s="9">
        <f>SUM(Z33:Z35)</f>
        <v>735.97548286999995</v>
      </c>
      <c r="AA37" s="9">
        <f>SUM(AA33:AA35)</f>
        <v>705.65469342454105</v>
      </c>
      <c r="AB37" s="9">
        <f>SUM(AB33:AB35)</f>
        <v>704.71953740000004</v>
      </c>
      <c r="AC37" s="9">
        <f>SUM(AC33:AC35)</f>
        <v>709.82575362986358</v>
      </c>
    </row>
    <row r="40" spans="1:29" x14ac:dyDescent="0.3">
      <c r="P40" s="54"/>
      <c r="T40" s="54"/>
      <c r="U40" s="54"/>
      <c r="V40" s="54"/>
      <c r="W40" s="54"/>
      <c r="X40" s="54"/>
      <c r="Y40" s="54"/>
      <c r="Z40" s="54"/>
      <c r="AA40" s="54"/>
      <c r="AB40" s="54"/>
      <c r="AC40" s="54"/>
    </row>
    <row r="41" spans="1:29" x14ac:dyDescent="0.3">
      <c r="P41" s="54"/>
      <c r="T41" s="54"/>
      <c r="U41" s="54"/>
      <c r="V41" s="54"/>
      <c r="W41" s="54"/>
      <c r="X41" s="54"/>
      <c r="Y41" s="54"/>
      <c r="Z41" s="54"/>
      <c r="AA41" s="54"/>
      <c r="AB41" s="54"/>
      <c r="AC41" s="54"/>
    </row>
    <row r="42" spans="1:29" x14ac:dyDescent="0.3">
      <c r="P42" s="54"/>
      <c r="T42" s="54"/>
      <c r="U42" s="54"/>
      <c r="V42" s="54"/>
      <c r="W42" s="54"/>
      <c r="X42" s="54"/>
      <c r="Y42" s="54"/>
      <c r="Z42" s="54"/>
      <c r="AA42" s="54"/>
      <c r="AB42" s="54"/>
      <c r="AC42" s="54"/>
    </row>
    <row r="43" spans="1:29" x14ac:dyDescent="0.3">
      <c r="P43" s="54"/>
      <c r="T43" s="54"/>
      <c r="U43" s="54"/>
      <c r="V43" s="54"/>
      <c r="W43" s="54"/>
      <c r="X43" s="54"/>
      <c r="Y43" s="54"/>
      <c r="Z43" s="54"/>
      <c r="AA43" s="54"/>
      <c r="AB43" s="54"/>
      <c r="AC43" s="54"/>
    </row>
    <row r="44" spans="1:29" x14ac:dyDescent="0.3">
      <c r="P44" s="54"/>
      <c r="T44" s="54"/>
      <c r="U44" s="54"/>
      <c r="V44" s="54"/>
      <c r="W44" s="54"/>
      <c r="X44" s="54"/>
      <c r="Y44" s="54"/>
      <c r="Z44" s="54"/>
      <c r="AA44" s="54"/>
      <c r="AB44" s="54"/>
      <c r="AC44" s="54"/>
    </row>
    <row r="45" spans="1:29" x14ac:dyDescent="0.3">
      <c r="P45" s="54"/>
      <c r="T45" s="54"/>
      <c r="U45" s="54"/>
      <c r="V45" s="54"/>
      <c r="W45" s="54"/>
      <c r="X45" s="54"/>
      <c r="Y45" s="54"/>
      <c r="Z45" s="54"/>
      <c r="AA45" s="54"/>
      <c r="AB45" s="54"/>
      <c r="AC45" s="54"/>
    </row>
    <row r="46" spans="1:29" x14ac:dyDescent="0.3">
      <c r="P46" s="54"/>
      <c r="T46" s="54"/>
      <c r="U46" s="54"/>
      <c r="V46" s="54"/>
      <c r="W46" s="54"/>
      <c r="X46" s="54"/>
      <c r="Y46" s="54"/>
      <c r="Z46" s="54"/>
      <c r="AA46" s="54"/>
      <c r="AB46" s="54"/>
      <c r="AC46" s="54"/>
    </row>
    <row r="47" spans="1:29" x14ac:dyDescent="0.3">
      <c r="P47" s="54"/>
      <c r="T47" s="54"/>
      <c r="U47" s="54"/>
      <c r="V47" s="54"/>
      <c r="W47" s="54"/>
      <c r="X47" s="54"/>
      <c r="Y47" s="54"/>
      <c r="Z47" s="54"/>
      <c r="AA47" s="54"/>
      <c r="AB47" s="54"/>
      <c r="AC47" s="54"/>
    </row>
    <row r="48" spans="1:29" x14ac:dyDescent="0.3">
      <c r="P48" s="54"/>
      <c r="T48" s="54"/>
      <c r="U48" s="54"/>
      <c r="V48" s="54"/>
      <c r="W48" s="54"/>
      <c r="X48" s="54"/>
      <c r="Y48" s="54"/>
      <c r="Z48" s="54"/>
      <c r="AA48" s="54"/>
      <c r="AB48" s="54"/>
      <c r="AC48" s="54"/>
    </row>
    <row r="49" spans="16:29" x14ac:dyDescent="0.3">
      <c r="P49" s="54"/>
      <c r="T49" s="54"/>
      <c r="U49" s="54"/>
      <c r="V49" s="54"/>
      <c r="W49" s="54"/>
      <c r="X49" s="54"/>
      <c r="Y49" s="54"/>
      <c r="Z49" s="54"/>
      <c r="AA49" s="54"/>
      <c r="AB49" s="54"/>
      <c r="AC49" s="54"/>
    </row>
  </sheetData>
  <mergeCells count="48">
    <mergeCell ref="AC6:AC7"/>
    <mergeCell ref="AC25:AC26"/>
    <mergeCell ref="Y6:Y7"/>
    <mergeCell ref="Y25:Y26"/>
    <mergeCell ref="M25:M26"/>
    <mergeCell ref="Q6:Q7"/>
    <mergeCell ref="J25:J26"/>
    <mergeCell ref="K25:K26"/>
    <mergeCell ref="V6:V7"/>
    <mergeCell ref="V25:V26"/>
    <mergeCell ref="K6:K7"/>
    <mergeCell ref="C6:C7"/>
    <mergeCell ref="D6:D7"/>
    <mergeCell ref="E6:E7"/>
    <mergeCell ref="I6:I7"/>
    <mergeCell ref="J6:J7"/>
    <mergeCell ref="C25:C26"/>
    <mergeCell ref="D25:D26"/>
    <mergeCell ref="E25:E26"/>
    <mergeCell ref="U6:U7"/>
    <mergeCell ref="U25:U26"/>
    <mergeCell ref="P25:P26"/>
    <mergeCell ref="O25:O26"/>
    <mergeCell ref="N6:N7"/>
    <mergeCell ref="N25:N26"/>
    <mergeCell ref="T25:T26"/>
    <mergeCell ref="T6:T7"/>
    <mergeCell ref="S6:S7"/>
    <mergeCell ref="I25:I26"/>
    <mergeCell ref="L6:L7"/>
    <mergeCell ref="L25:L26"/>
    <mergeCell ref="M6:M7"/>
    <mergeCell ref="AB6:AB7"/>
    <mergeCell ref="AB25:AB26"/>
    <mergeCell ref="X6:X7"/>
    <mergeCell ref="Q25:Q26"/>
    <mergeCell ref="O6:O7"/>
    <mergeCell ref="S25:S26"/>
    <mergeCell ref="R6:R7"/>
    <mergeCell ref="R25:R26"/>
    <mergeCell ref="P6:P7"/>
    <mergeCell ref="AA6:AA7"/>
    <mergeCell ref="AA25:AA26"/>
    <mergeCell ref="X25:X26"/>
    <mergeCell ref="W25:W26"/>
    <mergeCell ref="W6:W7"/>
    <mergeCell ref="Z6:Z7"/>
    <mergeCell ref="Z25:Z26"/>
  </mergeCells>
  <pageMargins left="0.7" right="0.7" top="0.75" bottom="0.75" header="0.3" footer="0.3"/>
  <pageSetup orientation="portrait" r:id="rId1"/>
  <ignoredErrors>
    <ignoredError sqref="E28:E3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R31"/>
  <sheetViews>
    <sheetView zoomScaleNormal="100" workbookViewId="0">
      <selection activeCell="AP28" sqref="AP28"/>
    </sheetView>
  </sheetViews>
  <sheetFormatPr baseColWidth="10" defaultColWidth="11.42578125" defaultRowHeight="15" x14ac:dyDescent="0.3"/>
  <cols>
    <col min="1" max="1" width="30.28515625" style="1" customWidth="1"/>
    <col min="2" max="6" width="11.42578125" style="1"/>
    <col min="7" max="7" width="32.85546875" style="1" customWidth="1"/>
    <col min="8" max="33" width="11.42578125" style="1" hidden="1" customWidth="1"/>
    <col min="34" max="35" width="11.42578125" style="1" customWidth="1"/>
    <col min="36" max="16384" width="11.42578125" style="1"/>
  </cols>
  <sheetData>
    <row r="4" spans="1:43" ht="23.25" x14ac:dyDescent="0.3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3" x14ac:dyDescent="0.3">
      <c r="F5" s="70"/>
    </row>
    <row r="6" spans="1:43" x14ac:dyDescent="0.3">
      <c r="A6" s="3" t="s">
        <v>104</v>
      </c>
      <c r="B6" s="102" t="s">
        <v>136</v>
      </c>
      <c r="C6" s="107" t="s">
        <v>144</v>
      </c>
      <c r="D6" s="102" t="s">
        <v>4</v>
      </c>
      <c r="F6" s="70">
        <v>1</v>
      </c>
      <c r="G6" s="3" t="s">
        <v>104</v>
      </c>
      <c r="H6" s="102" t="s">
        <v>6</v>
      </c>
      <c r="I6" s="102" t="s">
        <v>7</v>
      </c>
      <c r="J6" s="102" t="s">
        <v>8</v>
      </c>
      <c r="K6" s="102" t="s">
        <v>9</v>
      </c>
      <c r="L6" s="102" t="s">
        <v>10</v>
      </c>
      <c r="M6" s="102" t="s">
        <v>11</v>
      </c>
      <c r="N6" s="102" t="s">
        <v>12</v>
      </c>
      <c r="O6" s="102" t="s">
        <v>13</v>
      </c>
      <c r="P6" s="102" t="s">
        <v>14</v>
      </c>
      <c r="Q6" s="102" t="s">
        <v>15</v>
      </c>
      <c r="R6" s="102" t="s">
        <v>16</v>
      </c>
      <c r="S6" s="102" t="s">
        <v>17</v>
      </c>
      <c r="T6" s="102" t="s">
        <v>18</v>
      </c>
      <c r="U6" s="102" t="s">
        <v>19</v>
      </c>
      <c r="V6" s="102" t="s">
        <v>20</v>
      </c>
      <c r="W6" s="102" t="s">
        <v>21</v>
      </c>
      <c r="X6" s="102" t="s">
        <v>22</v>
      </c>
      <c r="Y6" s="102" t="s">
        <v>23</v>
      </c>
      <c r="Z6" s="102" t="s">
        <v>24</v>
      </c>
      <c r="AA6" s="102" t="s">
        <v>2</v>
      </c>
      <c r="AB6" s="102" t="s">
        <v>25</v>
      </c>
      <c r="AC6" s="102" t="s">
        <v>26</v>
      </c>
      <c r="AD6" s="102" t="s">
        <v>27</v>
      </c>
      <c r="AE6" s="102" t="s">
        <v>3</v>
      </c>
      <c r="AF6" s="102" t="s">
        <v>124</v>
      </c>
      <c r="AG6" s="102" t="s">
        <v>126</v>
      </c>
      <c r="AH6" s="102" t="s">
        <v>135</v>
      </c>
      <c r="AI6" s="102" t="s">
        <v>136</v>
      </c>
      <c r="AJ6" s="102" t="s">
        <v>138</v>
      </c>
      <c r="AK6" s="102" t="s">
        <v>139</v>
      </c>
      <c r="AL6" s="102" t="s">
        <v>140</v>
      </c>
      <c r="AM6" s="102" t="s">
        <v>144</v>
      </c>
      <c r="AN6" s="102" t="s">
        <v>148</v>
      </c>
    </row>
    <row r="7" spans="1:43" x14ac:dyDescent="0.3">
      <c r="A7" s="3" t="s">
        <v>51</v>
      </c>
      <c r="B7" s="102"/>
      <c r="C7" s="107"/>
      <c r="D7" s="102"/>
      <c r="F7" s="70">
        <v>2</v>
      </c>
      <c r="G7" s="3" t="s">
        <v>51</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row>
    <row r="8" spans="1:43" x14ac:dyDescent="0.3">
      <c r="F8" s="70">
        <v>3</v>
      </c>
    </row>
    <row r="9" spans="1:43" x14ac:dyDescent="0.3">
      <c r="A9" s="5" t="s">
        <v>105</v>
      </c>
      <c r="B9" s="8">
        <f>+HLOOKUP($B$6,$G$6:$AR$13,F9,FALSE)</f>
        <v>1336.7224258783999</v>
      </c>
      <c r="C9" s="8">
        <f>+HLOOKUP($C$6,$G$6:$AR$13,F9,FALSE)</f>
        <v>1880.8751022199999</v>
      </c>
      <c r="D9" s="46">
        <f>C9/B9-1</f>
        <v>0.40707978396039946</v>
      </c>
      <c r="F9" s="70">
        <v>4</v>
      </c>
      <c r="G9" s="5" t="s">
        <v>106</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f>+'[3]01.BALANCE'!$R$3+'[3]01.BALANCE'!$R$11</f>
        <v>1717.8100000000002</v>
      </c>
      <c r="AO9" s="48"/>
      <c r="AP9" s="54"/>
    </row>
    <row r="10" spans="1:43" x14ac:dyDescent="0.3">
      <c r="A10" s="5" t="s">
        <v>107</v>
      </c>
      <c r="B10" s="8">
        <f t="shared" ref="B10:B13" si="0">+HLOOKUP($B$6,$G$6:$AR$13,F10,FALSE)</f>
        <v>938.55964359000006</v>
      </c>
      <c r="C10" s="8">
        <f t="shared" ref="C10:C13" si="1">+HLOOKUP($C$6,$G$6:$AR$13,F10,FALSE)</f>
        <v>1391.35302142</v>
      </c>
      <c r="D10" s="46">
        <f t="shared" ref="D10:D13" si="2">C10/B10-1</f>
        <v>0.48243431402831338</v>
      </c>
      <c r="F10" s="70">
        <v>5</v>
      </c>
      <c r="G10" s="5" t="s">
        <v>107</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f>+'[3]01.BALANCE'!$O$3</f>
        <v>1175.0899999999999</v>
      </c>
      <c r="AO10" s="54"/>
      <c r="AP10" s="54"/>
    </row>
    <row r="11" spans="1:43" x14ac:dyDescent="0.3">
      <c r="A11" s="5" t="s">
        <v>108</v>
      </c>
      <c r="B11" s="8">
        <f t="shared" si="0"/>
        <v>398.16278228839985</v>
      </c>
      <c r="C11" s="87">
        <f t="shared" si="1"/>
        <v>489.52208079999991</v>
      </c>
      <c r="D11" s="46">
        <f t="shared" si="2"/>
        <v>0.22945213007233334</v>
      </c>
      <c r="F11" s="70">
        <v>6</v>
      </c>
      <c r="G11" s="5" t="s">
        <v>108</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H11" si="11">+AD9-AD10</f>
        <v>477.06928671000003</v>
      </c>
      <c r="AE11" s="8">
        <f t="shared" si="11"/>
        <v>445.85298820000003</v>
      </c>
      <c r="AF11" s="8">
        <f t="shared" si="11"/>
        <v>396.56264338999995</v>
      </c>
      <c r="AG11" s="8">
        <f t="shared" si="11"/>
        <v>521.07156331000022</v>
      </c>
      <c r="AH11" s="8">
        <f t="shared" si="11"/>
        <v>399.67024542000024</v>
      </c>
      <c r="AI11" s="8">
        <f>+AI9-AI10</f>
        <v>398.16278228839985</v>
      </c>
      <c r="AJ11" s="8">
        <f>+AJ9-AJ10</f>
        <v>331.79800860535011</v>
      </c>
      <c r="AK11" s="8">
        <f>975.657967441702-AK25</f>
        <v>563.86302597170197</v>
      </c>
      <c r="AL11" s="8">
        <f>+AL9-AL10</f>
        <v>-542.33240596565111</v>
      </c>
      <c r="AM11" s="8">
        <f>+AM9-AM10</f>
        <v>489.52208079999991</v>
      </c>
      <c r="AN11" s="8">
        <f>+AN9-AN10</f>
        <v>542.72000000000025</v>
      </c>
      <c r="AP11" s="54"/>
    </row>
    <row r="12" spans="1:43" x14ac:dyDescent="0.3">
      <c r="A12" s="5" t="s">
        <v>109</v>
      </c>
      <c r="B12" s="8">
        <f t="shared" si="0"/>
        <v>617.42694116786799</v>
      </c>
      <c r="C12" s="8">
        <f t="shared" si="1"/>
        <v>450.66937666849299</v>
      </c>
      <c r="D12" s="46">
        <f t="shared" si="2"/>
        <v>-0.27008469080398689</v>
      </c>
      <c r="F12" s="70">
        <v>7</v>
      </c>
      <c r="G12" s="5" t="s">
        <v>109</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551.16516704859112</v>
      </c>
      <c r="AP12" s="54"/>
    </row>
    <row r="13" spans="1:43" x14ac:dyDescent="0.3">
      <c r="A13" s="5" t="s">
        <v>110</v>
      </c>
      <c r="B13" s="8">
        <f t="shared" si="0"/>
        <v>0.64487432559271185</v>
      </c>
      <c r="C13" s="8">
        <f t="shared" si="1"/>
        <v>1.0862111031788311</v>
      </c>
      <c r="D13" s="46">
        <f t="shared" si="2"/>
        <v>0.68437641269169958</v>
      </c>
      <c r="F13" s="70">
        <v>8</v>
      </c>
      <c r="G13" s="5" t="s">
        <v>110</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43</v>
      </c>
      <c r="AM13" s="8">
        <f>+AM11/AM12</f>
        <v>1.0862111031788311</v>
      </c>
      <c r="AN13" s="8">
        <f>+AN11/AN12</f>
        <v>0.98467761108015317</v>
      </c>
      <c r="AP13" s="54"/>
      <c r="AQ13" s="54"/>
    </row>
    <row r="14" spans="1:43" x14ac:dyDescent="0.3">
      <c r="F14" s="70"/>
      <c r="U14" s="33"/>
      <c r="V14" s="33"/>
      <c r="W14" s="33"/>
      <c r="X14" s="33"/>
      <c r="Y14" s="33"/>
      <c r="Z14" s="33"/>
      <c r="AA14" s="33"/>
      <c r="AB14" s="33"/>
      <c r="AC14" s="33"/>
      <c r="AD14" s="33"/>
      <c r="AE14" s="33"/>
      <c r="AF14" s="33"/>
      <c r="AG14" s="33"/>
      <c r="AH14" s="33"/>
      <c r="AI14" s="33"/>
      <c r="AJ14" s="33"/>
      <c r="AK14" s="33"/>
      <c r="AL14" s="33"/>
      <c r="AM14" s="33"/>
      <c r="AN14" s="33"/>
      <c r="AO14" s="54"/>
    </row>
    <row r="15" spans="1:43" x14ac:dyDescent="0.3">
      <c r="F15" s="70"/>
      <c r="AH15" s="54"/>
      <c r="AO15" s="54"/>
      <c r="AP15" s="54"/>
    </row>
    <row r="16" spans="1:43" x14ac:dyDescent="0.3">
      <c r="F16" s="70"/>
      <c r="AP16" s="54"/>
    </row>
    <row r="17" spans="1:44" x14ac:dyDescent="0.3">
      <c r="F17" s="70"/>
      <c r="AR17" s="54"/>
    </row>
    <row r="18" spans="1:44" ht="23.25" x14ac:dyDescent="0.35">
      <c r="A18" s="12" t="s">
        <v>45</v>
      </c>
      <c r="B18" s="13"/>
      <c r="C18" s="13"/>
      <c r="D18" s="13"/>
      <c r="F18" s="70"/>
      <c r="G18" s="12" t="s">
        <v>45</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R18" s="54"/>
    </row>
    <row r="19" spans="1:44" x14ac:dyDescent="0.3">
      <c r="F19" s="70"/>
      <c r="AR19" s="54"/>
    </row>
    <row r="20" spans="1:44" x14ac:dyDescent="0.3">
      <c r="A20" s="3" t="s">
        <v>104</v>
      </c>
      <c r="B20" s="102" t="s">
        <v>136</v>
      </c>
      <c r="C20" s="107" t="s">
        <v>144</v>
      </c>
      <c r="D20" s="102" t="s">
        <v>4</v>
      </c>
      <c r="F20" s="70">
        <v>1</v>
      </c>
      <c r="G20" s="3" t="s">
        <v>104</v>
      </c>
      <c r="H20" s="102" t="s">
        <v>6</v>
      </c>
      <c r="I20" s="102" t="s">
        <v>7</v>
      </c>
      <c r="J20" s="102" t="s">
        <v>8</v>
      </c>
      <c r="K20" s="102" t="s">
        <v>9</v>
      </c>
      <c r="L20" s="102" t="s">
        <v>10</v>
      </c>
      <c r="M20" s="102" t="s">
        <v>11</v>
      </c>
      <c r="N20" s="102" t="s">
        <v>12</v>
      </c>
      <c r="O20" s="102" t="s">
        <v>13</v>
      </c>
      <c r="P20" s="102" t="s">
        <v>14</v>
      </c>
      <c r="Q20" s="102" t="s">
        <v>15</v>
      </c>
      <c r="R20" s="102" t="s">
        <v>16</v>
      </c>
      <c r="S20" s="102" t="s">
        <v>17</v>
      </c>
      <c r="T20" s="102" t="s">
        <v>18</v>
      </c>
      <c r="U20" s="102" t="s">
        <v>19</v>
      </c>
      <c r="V20" s="102" t="s">
        <v>20</v>
      </c>
      <c r="W20" s="102" t="s">
        <v>21</v>
      </c>
      <c r="X20" s="102" t="s">
        <v>22</v>
      </c>
      <c r="Y20" s="102" t="s">
        <v>23</v>
      </c>
      <c r="Z20" s="102" t="s">
        <v>24</v>
      </c>
      <c r="AA20" s="102" t="s">
        <v>2</v>
      </c>
      <c r="AB20" s="102" t="s">
        <v>25</v>
      </c>
      <c r="AC20" s="102" t="s">
        <v>26</v>
      </c>
      <c r="AD20" s="102" t="s">
        <v>27</v>
      </c>
      <c r="AE20" s="102" t="s">
        <v>3</v>
      </c>
      <c r="AF20" s="102" t="s">
        <v>124</v>
      </c>
      <c r="AG20" s="102" t="s">
        <v>126</v>
      </c>
      <c r="AH20" s="102" t="s">
        <v>135</v>
      </c>
      <c r="AI20" s="102" t="s">
        <v>136</v>
      </c>
      <c r="AJ20" s="102" t="s">
        <v>138</v>
      </c>
      <c r="AK20" s="102" t="s">
        <v>139</v>
      </c>
      <c r="AL20" s="102" t="s">
        <v>140</v>
      </c>
      <c r="AM20" s="102" t="s">
        <v>144</v>
      </c>
      <c r="AN20" s="102" t="s">
        <v>148</v>
      </c>
      <c r="AO20" s="54"/>
    </row>
    <row r="21" spans="1:44" x14ac:dyDescent="0.3">
      <c r="A21" s="3" t="s">
        <v>51</v>
      </c>
      <c r="B21" s="102"/>
      <c r="C21" s="107"/>
      <c r="D21" s="102"/>
      <c r="F21" s="70">
        <v>2</v>
      </c>
      <c r="G21" s="3" t="s">
        <v>51</v>
      </c>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row>
    <row r="22" spans="1:44" x14ac:dyDescent="0.3">
      <c r="F22" s="70">
        <v>3</v>
      </c>
    </row>
    <row r="23" spans="1:44" x14ac:dyDescent="0.3">
      <c r="A23" s="5" t="s">
        <v>105</v>
      </c>
      <c r="B23" s="8">
        <f>+HLOOKUP($B$20,$G$20:$AR$27,F23,FALSE)</f>
        <v>459.55068038999997</v>
      </c>
      <c r="C23" s="8">
        <f>+HLOOKUP($C$20,$G$20:$AQ$27,F23,FALSE)</f>
        <v>429.57719356000001</v>
      </c>
      <c r="D23" s="46">
        <f>C23/B23-1</f>
        <v>-6.5223463067365706E-2</v>
      </c>
      <c r="F23" s="70">
        <v>4</v>
      </c>
      <c r="G23" s="5" t="s">
        <v>106</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+'[2]Carp Dir'!$I$4+'[2]Carp Dir'!$I$12</f>
        <v>459.55068038999997</v>
      </c>
      <c r="AJ23" s="8">
        <v>443.4</v>
      </c>
      <c r="AK23" s="8">
        <v>444.9</v>
      </c>
      <c r="AL23" s="8">
        <v>428.2660204</v>
      </c>
      <c r="AM23" s="8">
        <v>429.57719356000001</v>
      </c>
      <c r="AN23" s="8">
        <f>+'[3]01.BALANCE'!$S$3+'[3]01.BALANCE'!$S$11</f>
        <v>411.36103896999998</v>
      </c>
      <c r="AO23" s="54"/>
    </row>
    <row r="24" spans="1:44" x14ac:dyDescent="0.3">
      <c r="A24" s="5" t="s">
        <v>107</v>
      </c>
      <c r="B24" s="8">
        <f t="shared" ref="B24:B27" si="17">+HLOOKUP($B$20,$G$20:$AR$27,F24,FALSE)</f>
        <v>28.840882880000002</v>
      </c>
      <c r="C24" s="8">
        <f t="shared" ref="C24:C27" si="18">+HLOOKUP($C$20,$G$20:$AQ$27,F24,FALSE)</f>
        <v>27.868612689999999</v>
      </c>
      <c r="D24" s="46">
        <f t="shared" ref="D24:D27" si="19">C24/B24-1</f>
        <v>-3.3711526586942098E-2</v>
      </c>
      <c r="F24" s="70">
        <v>5</v>
      </c>
      <c r="G24" s="5" t="s">
        <v>107</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+'[2]Carp Dir'!$D$4</f>
        <v>28.840882880000002</v>
      </c>
      <c r="AJ24" s="8">
        <v>21.843691669999998</v>
      </c>
      <c r="AK24" s="8">
        <v>33.105058530000001</v>
      </c>
      <c r="AL24" s="8">
        <v>21.281165947678915</v>
      </c>
      <c r="AM24" s="8">
        <v>27.868612689999999</v>
      </c>
      <c r="AN24" s="8">
        <f>+'[3]01.BALANCE'!$R$3</f>
        <v>21.9</v>
      </c>
      <c r="AO24" s="86"/>
    </row>
    <row r="25" spans="1:44" x14ac:dyDescent="0.3">
      <c r="A25" s="5" t="s">
        <v>108</v>
      </c>
      <c r="B25" s="8">
        <f t="shared" si="17"/>
        <v>430.70979750999999</v>
      </c>
      <c r="C25" s="87">
        <f t="shared" si="18"/>
        <v>401.70858086999999</v>
      </c>
      <c r="D25" s="46">
        <f t="shared" si="19"/>
        <v>-6.7333542927652257E-2</v>
      </c>
      <c r="F25" s="70">
        <v>6</v>
      </c>
      <c r="G25" s="5" t="s">
        <v>108</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+AI23-AI24</f>
        <v>430.70979750999999</v>
      </c>
      <c r="AJ25" s="8">
        <f>+AJ23-AJ24</f>
        <v>421.55630832999998</v>
      </c>
      <c r="AK25" s="8">
        <f>+AK23-AK24</f>
        <v>411.79494146999997</v>
      </c>
      <c r="AL25" s="8">
        <f>+AL23-AL24</f>
        <v>406.98485445232109</v>
      </c>
      <c r="AM25" s="8">
        <f>+AM23-AM24</f>
        <v>401.70858086999999</v>
      </c>
      <c r="AN25" s="8">
        <f>+AN23-AN24</f>
        <v>389.46103897</v>
      </c>
      <c r="AO25" s="86"/>
    </row>
    <row r="26" spans="1:44" x14ac:dyDescent="0.3">
      <c r="A26" s="5" t="s">
        <v>109</v>
      </c>
      <c r="B26" s="8">
        <f t="shared" si="17"/>
        <v>65.112546980000005</v>
      </c>
      <c r="C26" s="8">
        <f t="shared" si="18"/>
        <v>69.527732159999999</v>
      </c>
      <c r="D26" s="46">
        <f t="shared" si="19"/>
        <v>6.7808515943266201E-2</v>
      </c>
      <c r="F26" s="70">
        <v>7</v>
      </c>
      <c r="G26" s="5" t="s">
        <v>109</v>
      </c>
      <c r="H26" s="34"/>
      <c r="I26" s="34"/>
      <c r="J26" s="34"/>
      <c r="K26" s="34"/>
      <c r="L26" s="34"/>
      <c r="M26" s="34"/>
      <c r="N26" s="34"/>
      <c r="O26" s="34"/>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row>
    <row r="27" spans="1:44" x14ac:dyDescent="0.3">
      <c r="A27" s="5" t="s">
        <v>110</v>
      </c>
      <c r="B27" s="8">
        <f t="shared" si="17"/>
        <v>6.6148510154624569</v>
      </c>
      <c r="C27" s="8">
        <f t="shared" si="18"/>
        <v>5.777674150877985</v>
      </c>
      <c r="D27" s="46">
        <f t="shared" si="19"/>
        <v>-0.12656019956119047</v>
      </c>
      <c r="F27" s="70">
        <v>8</v>
      </c>
      <c r="G27" s="5" t="s">
        <v>110</v>
      </c>
      <c r="H27" s="34"/>
      <c r="I27" s="34"/>
      <c r="J27" s="34"/>
      <c r="K27" s="34"/>
      <c r="L27" s="34"/>
      <c r="M27" s="34"/>
      <c r="N27" s="34"/>
      <c r="O27" s="34"/>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6.3347358334203783</v>
      </c>
      <c r="AH27" s="8">
        <f t="shared" si="30"/>
        <v>6.363345313362518</v>
      </c>
      <c r="AI27" s="8">
        <f>+AI25/AI26</f>
        <v>6.6148510154624569</v>
      </c>
      <c r="AJ27" s="8">
        <f>+AJ25/AJ26</f>
        <v>6.7571632894011024</v>
      </c>
      <c r="AK27" s="8">
        <f>+AK25/AK26</f>
        <v>6.503550688542922</v>
      </c>
      <c r="AL27" s="8">
        <f>+AL25/AL26</f>
        <v>6.0271863179473426</v>
      </c>
      <c r="AM27" s="8">
        <f>+AM25/AM26</f>
        <v>5.777674150877985</v>
      </c>
      <c r="AN27" s="8">
        <f>+AN25/AN26</f>
        <v>5.0255839493700174</v>
      </c>
    </row>
    <row r="29" spans="1:44" x14ac:dyDescent="0.3">
      <c r="G29" s="1" t="s">
        <v>111</v>
      </c>
      <c r="R29" s="33"/>
      <c r="S29" s="33"/>
      <c r="T29" s="33"/>
      <c r="U29" s="33"/>
      <c r="V29" s="33"/>
      <c r="W29" s="33"/>
      <c r="X29" s="33"/>
      <c r="Y29" s="33"/>
      <c r="Z29" s="33"/>
      <c r="AA29" s="33"/>
      <c r="AB29" s="33"/>
      <c r="AC29" s="33"/>
      <c r="AD29" s="33"/>
      <c r="AE29" s="33"/>
      <c r="AF29" s="33"/>
      <c r="AG29" s="33"/>
      <c r="AH29" s="33"/>
      <c r="AI29" s="33"/>
      <c r="AJ29" s="33"/>
      <c r="AK29" s="33"/>
      <c r="AL29" s="33"/>
      <c r="AM29" s="33"/>
      <c r="AN29" s="33"/>
    </row>
    <row r="30" spans="1:44" x14ac:dyDescent="0.3">
      <c r="B30" s="52"/>
    </row>
    <row r="31" spans="1:44" ht="119.25" customHeight="1" x14ac:dyDescent="0.3">
      <c r="A31" s="108" t="s">
        <v>129</v>
      </c>
      <c r="B31" s="108"/>
      <c r="C31" s="108"/>
      <c r="D31" s="108"/>
    </row>
  </sheetData>
  <mergeCells count="73">
    <mergeCell ref="AN6:AN7"/>
    <mergeCell ref="AN20:AN21"/>
    <mergeCell ref="A31:D31"/>
    <mergeCell ref="P6:P7"/>
    <mergeCell ref="W6:W7"/>
    <mergeCell ref="W20:W21"/>
    <mergeCell ref="S6:S7"/>
    <mergeCell ref="T6:T7"/>
    <mergeCell ref="U6:U7"/>
    <mergeCell ref="V6:V7"/>
    <mergeCell ref="Q6:Q7"/>
    <mergeCell ref="R6:R7"/>
    <mergeCell ref="U20:U21"/>
    <mergeCell ref="V20:V21"/>
    <mergeCell ref="O20:O21"/>
    <mergeCell ref="P20:P21"/>
    <mergeCell ref="Q20:Q21"/>
    <mergeCell ref="B6:B7"/>
    <mergeCell ref="C6:C7"/>
    <mergeCell ref="D6:D7"/>
    <mergeCell ref="B20:B21"/>
    <mergeCell ref="C20:C21"/>
    <mergeCell ref="D20:D21"/>
    <mergeCell ref="O6:O7"/>
    <mergeCell ref="H6:H7"/>
    <mergeCell ref="H20:H21"/>
    <mergeCell ref="I6:I7"/>
    <mergeCell ref="J6:J7"/>
    <mergeCell ref="K6:K7"/>
    <mergeCell ref="I20:I21"/>
    <mergeCell ref="J20:J21"/>
    <mergeCell ref="K20:K21"/>
    <mergeCell ref="L20:L21"/>
    <mergeCell ref="M20:M21"/>
    <mergeCell ref="N20:N21"/>
    <mergeCell ref="M6:M7"/>
    <mergeCell ref="N6:N7"/>
    <mergeCell ref="L6:L7"/>
    <mergeCell ref="R20:R21"/>
    <mergeCell ref="S20:S21"/>
    <mergeCell ref="AB6:AB7"/>
    <mergeCell ref="AB20:AB21"/>
    <mergeCell ref="Z6:Z7"/>
    <mergeCell ref="Z20:Z21"/>
    <mergeCell ref="Y6:Y7"/>
    <mergeCell ref="Y20:Y21"/>
    <mergeCell ref="AA6:AA7"/>
    <mergeCell ref="AA20:AA21"/>
    <mergeCell ref="X6:X7"/>
    <mergeCell ref="X20:X21"/>
    <mergeCell ref="T20:T21"/>
    <mergeCell ref="AD6:AD7"/>
    <mergeCell ref="AD20:AD21"/>
    <mergeCell ref="AC6:AC7"/>
    <mergeCell ref="AC20:AC21"/>
    <mergeCell ref="AF6:AF7"/>
    <mergeCell ref="AF20:AF21"/>
    <mergeCell ref="AE20:AE21"/>
    <mergeCell ref="AE6:AE7"/>
    <mergeCell ref="AH6:AH7"/>
    <mergeCell ref="AH20:AH21"/>
    <mergeCell ref="AG6:AG7"/>
    <mergeCell ref="AG20:AG21"/>
    <mergeCell ref="AI6:AI7"/>
    <mergeCell ref="AI20:AI21"/>
    <mergeCell ref="AM6:AM7"/>
    <mergeCell ref="AM20:AM21"/>
    <mergeCell ref="AK6:AK7"/>
    <mergeCell ref="AK20:AK21"/>
    <mergeCell ref="AJ6:AJ7"/>
    <mergeCell ref="AJ20:AJ21"/>
    <mergeCell ref="AL6:AL7"/>
    <mergeCell ref="AL20:AL21"/>
  </mergeCells>
  <pageMargins left="0.7" right="0.7" top="0.75" bottom="0.75" header="0.3" footer="0.3"/>
  <pageSetup orientation="portrait" r:id="rId1"/>
  <ignoredErrors>
    <ignoredError sqref="AK1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N22"/>
  <sheetViews>
    <sheetView zoomScale="90" zoomScaleNormal="90" workbookViewId="0">
      <selection activeCell="K33" sqref="K33"/>
    </sheetView>
  </sheetViews>
  <sheetFormatPr baseColWidth="10" defaultColWidth="11.42578125" defaultRowHeight="15" x14ac:dyDescent="0.3"/>
  <cols>
    <col min="1" max="1" width="27.28515625" style="47" customWidth="1"/>
    <col min="2" max="3" width="7.85546875" style="47" hidden="1" customWidth="1"/>
    <col min="4" max="14" width="7.85546875" style="47" customWidth="1"/>
    <col min="15" max="17" width="8" style="47" customWidth="1"/>
    <col min="18" max="16384" width="11.42578125" style="47"/>
  </cols>
  <sheetData>
    <row r="4" spans="1:14" ht="23.25" x14ac:dyDescent="0.35">
      <c r="A4" s="12" t="s">
        <v>0</v>
      </c>
      <c r="B4" s="13"/>
      <c r="C4" s="13"/>
      <c r="D4" s="13"/>
      <c r="E4" s="13"/>
      <c r="F4" s="13"/>
      <c r="G4" s="13"/>
      <c r="H4" s="13"/>
      <c r="I4" s="13"/>
      <c r="J4" s="13"/>
      <c r="K4" s="13"/>
      <c r="L4" s="13"/>
      <c r="M4" s="13"/>
      <c r="N4" s="13"/>
    </row>
    <row r="5" spans="1:14" ht="14.25" customHeight="1" x14ac:dyDescent="0.3">
      <c r="A5" s="1"/>
      <c r="B5" s="1"/>
    </row>
    <row r="6" spans="1:14" x14ac:dyDescent="0.3">
      <c r="A6" s="3" t="s">
        <v>112</v>
      </c>
      <c r="B6" s="102">
        <v>2018</v>
      </c>
      <c r="C6" s="102">
        <v>2021</v>
      </c>
      <c r="D6" s="102">
        <v>2022</v>
      </c>
      <c r="E6" s="102">
        <v>2023</v>
      </c>
      <c r="F6" s="102">
        <v>2024</v>
      </c>
      <c r="G6" s="102">
        <v>2025</v>
      </c>
      <c r="H6" s="102">
        <v>2026</v>
      </c>
      <c r="I6" s="102">
        <v>2027</v>
      </c>
      <c r="J6" s="102">
        <v>2028</v>
      </c>
      <c r="K6" s="102">
        <v>2029</v>
      </c>
      <c r="L6" s="102">
        <v>2030</v>
      </c>
      <c r="M6" s="102">
        <v>2031</v>
      </c>
      <c r="N6" s="102">
        <v>2032</v>
      </c>
    </row>
    <row r="7" spans="1:14" x14ac:dyDescent="0.3">
      <c r="A7" s="3" t="s">
        <v>51</v>
      </c>
      <c r="B7" s="102"/>
      <c r="C7" s="102"/>
      <c r="D7" s="102"/>
      <c r="E7" s="102"/>
      <c r="F7" s="102"/>
      <c r="G7" s="102"/>
      <c r="H7" s="102"/>
      <c r="I7" s="102"/>
      <c r="J7" s="102"/>
      <c r="K7" s="102"/>
      <c r="L7" s="102"/>
      <c r="M7" s="102"/>
      <c r="N7" s="102"/>
    </row>
    <row r="8" spans="1:14" ht="8.25" customHeight="1" x14ac:dyDescent="0.3">
      <c r="A8" s="1"/>
      <c r="B8" s="1"/>
    </row>
    <row r="9" spans="1:14" ht="16.5" x14ac:dyDescent="0.3">
      <c r="A9" s="5" t="s">
        <v>113</v>
      </c>
      <c r="B9" s="7">
        <v>0</v>
      </c>
      <c r="C9" s="93"/>
      <c r="D9" s="93"/>
      <c r="E9" s="93"/>
      <c r="F9" s="93">
        <v>157</v>
      </c>
      <c r="G9" s="93">
        <v>0</v>
      </c>
      <c r="H9" s="93">
        <v>0</v>
      </c>
      <c r="I9" s="93">
        <v>500</v>
      </c>
      <c r="J9" s="93">
        <v>0</v>
      </c>
      <c r="K9" s="93">
        <v>0</v>
      </c>
      <c r="L9" s="93">
        <v>500</v>
      </c>
      <c r="M9" s="93">
        <v>0</v>
      </c>
      <c r="N9" s="93">
        <v>600</v>
      </c>
    </row>
    <row r="14" spans="1:14" ht="23.25" x14ac:dyDescent="0.35">
      <c r="A14" s="12" t="s">
        <v>45</v>
      </c>
      <c r="B14" s="13"/>
      <c r="C14" s="13"/>
      <c r="D14" s="13"/>
      <c r="E14" s="13"/>
      <c r="F14" s="13"/>
      <c r="G14" s="13"/>
      <c r="H14" s="13"/>
      <c r="I14" s="13"/>
      <c r="J14" s="13"/>
      <c r="K14" s="13"/>
      <c r="L14" s="13"/>
      <c r="M14" s="13"/>
      <c r="N14" s="13"/>
    </row>
    <row r="15" spans="1:14" ht="13.5" customHeight="1" x14ac:dyDescent="0.3">
      <c r="A15" s="1"/>
      <c r="B15" s="1"/>
    </row>
    <row r="16" spans="1:14" x14ac:dyDescent="0.3">
      <c r="A16" s="3" t="s">
        <v>112</v>
      </c>
      <c r="B16" s="102">
        <v>2018</v>
      </c>
      <c r="C16" s="102">
        <v>2021</v>
      </c>
      <c r="D16" s="102">
        <v>2022</v>
      </c>
      <c r="E16" s="102">
        <v>2023</v>
      </c>
      <c r="F16" s="102">
        <v>2024</v>
      </c>
      <c r="G16" s="102">
        <v>2025</v>
      </c>
      <c r="H16" s="102">
        <v>2026</v>
      </c>
      <c r="I16" s="102">
        <v>2027</v>
      </c>
      <c r="J16" s="104">
        <v>2028</v>
      </c>
      <c r="K16" s="102">
        <v>2029</v>
      </c>
      <c r="L16" s="102">
        <v>2030</v>
      </c>
      <c r="M16" s="99"/>
      <c r="N16" s="99"/>
    </row>
    <row r="17" spans="1:14" x14ac:dyDescent="0.3">
      <c r="A17" s="3" t="s">
        <v>51</v>
      </c>
      <c r="B17" s="102"/>
      <c r="C17" s="102"/>
      <c r="D17" s="102"/>
      <c r="E17" s="102"/>
      <c r="F17" s="102"/>
      <c r="G17" s="102"/>
      <c r="H17" s="102"/>
      <c r="I17" s="102"/>
      <c r="J17" s="104"/>
      <c r="K17" s="102"/>
      <c r="L17" s="102"/>
      <c r="M17" s="99"/>
      <c r="N17" s="99"/>
    </row>
    <row r="18" spans="1:14" x14ac:dyDescent="0.3">
      <c r="A18" s="1"/>
      <c r="B18" s="1"/>
    </row>
    <row r="19" spans="1:14" ht="16.5" x14ac:dyDescent="0.3">
      <c r="A19" s="5" t="s">
        <v>114</v>
      </c>
      <c r="B19" s="7">
        <v>0</v>
      </c>
      <c r="C19" s="92"/>
      <c r="D19" s="92">
        <v>14</v>
      </c>
      <c r="E19" s="92">
        <v>28</v>
      </c>
      <c r="F19" s="92">
        <v>24</v>
      </c>
      <c r="G19" s="92">
        <v>16</v>
      </c>
      <c r="H19" s="92">
        <v>18</v>
      </c>
      <c r="I19" s="92">
        <v>168</v>
      </c>
      <c r="J19" s="57">
        <v>0</v>
      </c>
      <c r="K19" s="57">
        <v>0</v>
      </c>
      <c r="L19" s="57">
        <v>0</v>
      </c>
      <c r="M19" s="57"/>
      <c r="N19" s="57"/>
    </row>
    <row r="22" spans="1:14" x14ac:dyDescent="0.3">
      <c r="A22" s="1" t="s">
        <v>115</v>
      </c>
      <c r="B22" s="1"/>
      <c r="C22" s="1"/>
      <c r="D22" s="1"/>
      <c r="E22" s="1"/>
      <c r="F22" s="1"/>
      <c r="G22" s="1"/>
      <c r="H22" s="1"/>
      <c r="I22" s="1"/>
    </row>
  </sheetData>
  <mergeCells count="24">
    <mergeCell ref="D16:D17"/>
    <mergeCell ref="L6:L7"/>
    <mergeCell ref="L16:L17"/>
    <mergeCell ref="K6:K7"/>
    <mergeCell ref="C6:C7"/>
    <mergeCell ref="D6:D7"/>
    <mergeCell ref="J6:J7"/>
    <mergeCell ref="I6:I7"/>
    <mergeCell ref="M6:M7"/>
    <mergeCell ref="N6:N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Q40"/>
  <sheetViews>
    <sheetView tabSelected="1" topLeftCell="B1" zoomScale="80" zoomScaleNormal="80" workbookViewId="0">
      <selection activeCell="H38" sqref="H38"/>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36" width="11.42578125" style="1" customWidth="1"/>
    <col min="37" max="16384" width="11.42578125" style="1"/>
  </cols>
  <sheetData>
    <row r="4" spans="1:43"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6" spans="1:43" x14ac:dyDescent="0.3">
      <c r="A6" s="1">
        <v>1</v>
      </c>
      <c r="B6" s="3" t="s">
        <v>116</v>
      </c>
      <c r="C6" s="102" t="s">
        <v>135</v>
      </c>
      <c r="D6" s="102" t="s">
        <v>140</v>
      </c>
      <c r="E6" s="102" t="s">
        <v>4</v>
      </c>
      <c r="H6" s="3" t="s">
        <v>116</v>
      </c>
      <c r="I6" s="102" t="s">
        <v>6</v>
      </c>
      <c r="J6" s="102" t="s">
        <v>7</v>
      </c>
      <c r="K6" s="102" t="s">
        <v>8</v>
      </c>
      <c r="L6" s="102" t="s">
        <v>9</v>
      </c>
      <c r="M6" s="102" t="s">
        <v>10</v>
      </c>
      <c r="N6" s="102" t="s">
        <v>11</v>
      </c>
      <c r="O6" s="102" t="s">
        <v>12</v>
      </c>
      <c r="P6" s="102" t="s">
        <v>13</v>
      </c>
      <c r="Q6" s="102" t="s">
        <v>14</v>
      </c>
      <c r="R6" s="102" t="s">
        <v>15</v>
      </c>
      <c r="S6" s="102" t="s">
        <v>16</v>
      </c>
      <c r="T6" s="102" t="s">
        <v>17</v>
      </c>
      <c r="U6" s="102" t="s">
        <v>18</v>
      </c>
      <c r="V6" s="102" t="s">
        <v>19</v>
      </c>
      <c r="W6" s="102" t="s">
        <v>20</v>
      </c>
      <c r="X6" s="102" t="s">
        <v>21</v>
      </c>
      <c r="Y6" s="102" t="s">
        <v>22</v>
      </c>
      <c r="Z6" s="102" t="s">
        <v>23</v>
      </c>
      <c r="AA6" s="102" t="s">
        <v>24</v>
      </c>
      <c r="AB6" s="102" t="s">
        <v>2</v>
      </c>
      <c r="AC6" s="102" t="s">
        <v>25</v>
      </c>
      <c r="AD6" s="102" t="s">
        <v>26</v>
      </c>
      <c r="AE6" s="102" t="s">
        <v>27</v>
      </c>
      <c r="AF6" s="102" t="s">
        <v>3</v>
      </c>
      <c r="AG6" s="102" t="s">
        <v>124</v>
      </c>
      <c r="AH6" s="102" t="s">
        <v>126</v>
      </c>
      <c r="AI6" s="102" t="s">
        <v>135</v>
      </c>
      <c r="AJ6" s="102" t="s">
        <v>136</v>
      </c>
      <c r="AK6" s="102" t="s">
        <v>138</v>
      </c>
      <c r="AL6" s="102" t="s">
        <v>139</v>
      </c>
      <c r="AM6" s="102" t="s">
        <v>140</v>
      </c>
      <c r="AN6" s="102" t="s">
        <v>144</v>
      </c>
    </row>
    <row r="7" spans="1:43" x14ac:dyDescent="0.3">
      <c r="A7" s="1">
        <v>2</v>
      </c>
      <c r="B7" s="3" t="s">
        <v>51</v>
      </c>
      <c r="C7" s="102"/>
      <c r="D7" s="102"/>
      <c r="E7" s="102"/>
      <c r="H7" s="3" t="s">
        <v>51</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row>
    <row r="8" spans="1:43" x14ac:dyDescent="0.3">
      <c r="A8" s="1">
        <v>3</v>
      </c>
    </row>
    <row r="9" spans="1:43" x14ac:dyDescent="0.3">
      <c r="A9" s="1">
        <v>4</v>
      </c>
      <c r="B9" s="6" t="s">
        <v>132</v>
      </c>
      <c r="C9" s="9">
        <f>+HLOOKUP($C$6,$H$6:$AU$18,A9,FALSE)</f>
        <v>813.14969842999994</v>
      </c>
      <c r="D9" s="9">
        <f>+HLOOKUP($D$6,$H$6:$AU$18,A9,FALSE)</f>
        <v>757.01755843000001</v>
      </c>
      <c r="E9" s="38">
        <f>D9/C9-1</f>
        <v>-6.9030511981222897E-2</v>
      </c>
      <c r="H9" s="6" t="s">
        <v>117</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54"/>
    </row>
    <row r="10" spans="1:43" ht="8.25" customHeight="1" x14ac:dyDescent="0.3">
      <c r="A10" s="1">
        <v>5</v>
      </c>
      <c r="I10" s="22"/>
      <c r="J10" s="22"/>
      <c r="K10" s="22"/>
      <c r="L10" s="22"/>
      <c r="M10" s="22"/>
      <c r="N10" s="22"/>
      <c r="O10" s="22"/>
      <c r="P10" s="22"/>
      <c r="AO10" s="54"/>
    </row>
    <row r="11" spans="1:43" x14ac:dyDescent="0.3">
      <c r="A11" s="1">
        <v>6</v>
      </c>
      <c r="B11" s="5" t="s">
        <v>118</v>
      </c>
      <c r="C11" s="8">
        <f>+HLOOKUP($C$6,$H$6:$AI$18,A11,FALSE)</f>
        <v>154.19999999999999</v>
      </c>
      <c r="D11" s="8">
        <f>+HLOOKUP($D$6,$H$6:$AU$18,A11,FALSE)</f>
        <v>73.920999999999992</v>
      </c>
      <c r="E11" s="36">
        <f>+D11/C11-1</f>
        <v>-0.52061608300907913</v>
      </c>
      <c r="H11" s="5" t="s">
        <v>118</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54"/>
      <c r="AP11" s="54"/>
      <c r="AQ11" s="54"/>
    </row>
    <row r="12" spans="1:43" x14ac:dyDescent="0.3">
      <c r="A12" s="1">
        <v>7</v>
      </c>
      <c r="B12" s="5" t="s">
        <v>133</v>
      </c>
      <c r="C12" s="8">
        <f>+HLOOKUP($C$6,$H$6:$AU$18,A12,FALSE)</f>
        <v>-11.800000000000004</v>
      </c>
      <c r="D12" s="8">
        <f>+HLOOKUP($D$6,$H$6:$AU$18,A12,FALSE)</f>
        <v>-12.523999999999997</v>
      </c>
      <c r="E12" s="49">
        <f t="shared" ref="E12:E14" si="1">+D12/C12-1</f>
        <v>6.1355932203389196E-2</v>
      </c>
      <c r="H12" s="5" t="s">
        <v>119</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54"/>
      <c r="AP12" s="54"/>
      <c r="AQ12" s="54"/>
    </row>
    <row r="13" spans="1:43" x14ac:dyDescent="0.3">
      <c r="A13" s="1">
        <v>8</v>
      </c>
      <c r="B13" s="5" t="s">
        <v>131</v>
      </c>
      <c r="C13" s="8">
        <f>+HLOOKUP($C$6,$H$6:$AU$18,A13,FALSE)</f>
        <v>-21.4</v>
      </c>
      <c r="D13" s="8">
        <f>+HLOOKUP($D$6,$H$6:$AU$18,A13,FALSE)</f>
        <v>1055.52</v>
      </c>
      <c r="E13" s="49" t="s">
        <v>43</v>
      </c>
      <c r="H13" s="5" t="s">
        <v>120</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54"/>
      <c r="AP13" s="54"/>
      <c r="AQ13" s="54"/>
    </row>
    <row r="14" spans="1:43" x14ac:dyDescent="0.3">
      <c r="A14" s="1">
        <v>9</v>
      </c>
      <c r="B14" s="20" t="s">
        <v>121</v>
      </c>
      <c r="C14" s="21">
        <f>+HLOOKUP($C$6,$H$6:$AU$18,A14,FALSE)</f>
        <v>120.99999999999997</v>
      </c>
      <c r="D14" s="21">
        <f>+HLOOKUP($D$6,$H$6:$AU$18,A14,FALSE)</f>
        <v>1116.9169999999999</v>
      </c>
      <c r="E14" s="56">
        <f t="shared" si="1"/>
        <v>8.2307190082644635</v>
      </c>
      <c r="H14" s="20" t="s">
        <v>121</v>
      </c>
      <c r="I14" s="21">
        <v>-48</v>
      </c>
      <c r="J14" s="21">
        <v>130.9</v>
      </c>
      <c r="K14" s="21">
        <v>559.4</v>
      </c>
      <c r="L14" s="21">
        <v>-51.099999999999987</v>
      </c>
      <c r="M14" s="21">
        <v>-16.399999999999995</v>
      </c>
      <c r="N14" s="21">
        <v>96.135000000000005</v>
      </c>
      <c r="O14" s="21">
        <v>183.25</v>
      </c>
      <c r="P14" s="21">
        <v>-8.2833710000000167</v>
      </c>
      <c r="Q14" s="21">
        <v>-2.4379144000000226</v>
      </c>
      <c r="R14" s="21">
        <f t="shared" ref="R14" si="2">SUM(R11:R13)</f>
        <v>-217.23088559999997</v>
      </c>
      <c r="S14" s="21">
        <f t="shared" ref="S14" si="3">SUM(S11:S13)</f>
        <v>-250.978229</v>
      </c>
      <c r="T14" s="21">
        <f t="shared" ref="T14" si="4">SUM(T11:T13)</f>
        <v>69.550125370000018</v>
      </c>
      <c r="U14" s="21">
        <f t="shared" ref="U14" si="5">SUM(U11:U13)</f>
        <v>-20.726000000000013</v>
      </c>
      <c r="V14" s="21">
        <f t="shared" ref="V14:W14" si="6">SUM(V11:V13)</f>
        <v>17.821999999999953</v>
      </c>
      <c r="W14" s="21">
        <f t="shared" si="6"/>
        <v>86.719000000000051</v>
      </c>
      <c r="X14" s="21">
        <f t="shared" ref="X14:AE14" si="7">SUM(X11:X13)</f>
        <v>16.327094549999909</v>
      </c>
      <c r="Y14" s="21">
        <f t="shared" si="7"/>
        <v>79.796999999999997</v>
      </c>
      <c r="Z14" s="21">
        <f t="shared" si="7"/>
        <v>-181.13899999999998</v>
      </c>
      <c r="AA14" s="21">
        <f t="shared" si="7"/>
        <v>97.842000000000041</v>
      </c>
      <c r="AB14" s="21">
        <f t="shared" si="7"/>
        <v>31.286000000000023</v>
      </c>
      <c r="AC14" s="21">
        <f t="shared" si="7"/>
        <v>35.599999999999987</v>
      </c>
      <c r="AD14" s="21">
        <f t="shared" si="7"/>
        <v>-149.30000000000001</v>
      </c>
      <c r="AE14" s="21">
        <f t="shared" si="7"/>
        <v>122.17200000000001</v>
      </c>
      <c r="AF14" s="21">
        <f t="shared" ref="AF14:AH14" si="8">SUM(AF11:AF13)</f>
        <v>8.1279999999999681</v>
      </c>
      <c r="AG14" s="21">
        <f t="shared" si="8"/>
        <v>179.5</v>
      </c>
      <c r="AH14" s="21">
        <f t="shared" si="8"/>
        <v>-135.19999999999999</v>
      </c>
      <c r="AI14" s="21">
        <f t="shared" ref="AI14:AN14" si="9">SUM(AI11:AI13)</f>
        <v>120.99999999999997</v>
      </c>
      <c r="AJ14" s="21">
        <f t="shared" si="9"/>
        <v>-12.699999999999996</v>
      </c>
      <c r="AK14" s="21">
        <f t="shared" si="9"/>
        <v>71.363970000000009</v>
      </c>
      <c r="AL14" s="21">
        <f t="shared" si="9"/>
        <v>-251.11711</v>
      </c>
      <c r="AM14" s="21">
        <f t="shared" si="9"/>
        <v>1116.9169999999999</v>
      </c>
      <c r="AN14" s="21">
        <f t="shared" si="9"/>
        <v>-471.16420032000036</v>
      </c>
      <c r="AO14" s="54"/>
      <c r="AP14" s="53"/>
    </row>
    <row r="15" spans="1:43" ht="8.25" customHeight="1" x14ac:dyDescent="0.3">
      <c r="A15" s="1">
        <v>10</v>
      </c>
      <c r="I15" s="22"/>
      <c r="J15" s="22"/>
      <c r="K15" s="22"/>
      <c r="L15" s="22"/>
      <c r="M15" s="22"/>
      <c r="N15" s="22"/>
      <c r="O15" s="22"/>
      <c r="P15" s="22"/>
      <c r="AO15" s="54"/>
    </row>
    <row r="16" spans="1:43" x14ac:dyDescent="0.3">
      <c r="A16" s="1">
        <v>11</v>
      </c>
      <c r="B16" s="5" t="s">
        <v>122</v>
      </c>
      <c r="C16" s="8">
        <f>+HLOOKUP($C$6,$H$6:$AU$18,A16,FALSE)</f>
        <v>4.5</v>
      </c>
      <c r="D16" s="8">
        <f>+HLOOKUP($D$6,$H$6:$AU$18,A16,FALSE)</f>
        <v>-9.2520000000000007</v>
      </c>
      <c r="E16" s="49" t="s">
        <v>43</v>
      </c>
      <c r="H16" s="5" t="s">
        <v>122</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54"/>
    </row>
    <row r="17" spans="1:41" ht="8.25" customHeight="1" x14ac:dyDescent="0.3">
      <c r="A17" s="1">
        <v>12</v>
      </c>
      <c r="I17" s="22"/>
      <c r="J17" s="22"/>
      <c r="K17" s="22"/>
      <c r="L17" s="22"/>
      <c r="M17" s="22"/>
      <c r="N17" s="22"/>
      <c r="O17" s="22"/>
      <c r="P17" s="22"/>
      <c r="AO17" s="54"/>
    </row>
    <row r="18" spans="1:41" x14ac:dyDescent="0.3">
      <c r="A18" s="1">
        <v>13</v>
      </c>
      <c r="B18" s="6" t="s">
        <v>123</v>
      </c>
      <c r="C18" s="9">
        <f>+HLOOKUP($C$6,$H$6:$AU$18,A18,FALSE)</f>
        <v>938.64969842999994</v>
      </c>
      <c r="D18" s="9">
        <f>+HLOOKUP($D$6,$H$6:$AU$18,A18,FALSE)</f>
        <v>1864.68255843</v>
      </c>
      <c r="E18" s="11">
        <f>D18/C18-1</f>
        <v>0.98655852289613155</v>
      </c>
      <c r="H18" s="6" t="s">
        <v>123</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10">U16+U14+U9</f>
        <v>625.20732536999992</v>
      </c>
      <c r="V18" s="9">
        <f t="shared" si="10"/>
        <v>642.65332536999983</v>
      </c>
      <c r="W18" s="9">
        <f t="shared" si="10"/>
        <v>732.58632536999994</v>
      </c>
      <c r="X18" s="9">
        <f t="shared" si="10"/>
        <v>757.34441991999984</v>
      </c>
      <c r="Y18" s="9">
        <f t="shared" si="10"/>
        <v>840.16941991999988</v>
      </c>
      <c r="Z18" s="9">
        <f t="shared" si="10"/>
        <v>643.25441991999992</v>
      </c>
      <c r="AA18" s="9">
        <f t="shared" ref="AA18:AH18" si="11">AA16+AA14+AA9</f>
        <v>738.24441991999993</v>
      </c>
      <c r="AB18" s="9">
        <f t="shared" si="11"/>
        <v>764.4089199199999</v>
      </c>
      <c r="AC18" s="9">
        <f t="shared" si="11"/>
        <v>802.70891991999986</v>
      </c>
      <c r="AD18" s="9">
        <f t="shared" si="11"/>
        <v>649.80891991999988</v>
      </c>
      <c r="AE18" s="9">
        <f t="shared" si="11"/>
        <v>766.85041992000004</v>
      </c>
      <c r="AF18" s="9">
        <f t="shared" si="11"/>
        <v>773.54441991999988</v>
      </c>
      <c r="AG18" s="9">
        <f t="shared" si="11"/>
        <v>951.04969842999992</v>
      </c>
      <c r="AH18" s="9">
        <f t="shared" si="11"/>
        <v>813.14969842999994</v>
      </c>
      <c r="AI18" s="9">
        <f t="shared" ref="AI18:AN18" si="12">AI16+AI14+AI9</f>
        <v>938.64969842999994</v>
      </c>
      <c r="AJ18" s="9">
        <f t="shared" si="12"/>
        <v>936.4496984299999</v>
      </c>
      <c r="AK18" s="9">
        <f t="shared" si="12"/>
        <v>975.10996842999998</v>
      </c>
      <c r="AL18" s="9">
        <f t="shared" si="12"/>
        <v>757.01755843000001</v>
      </c>
      <c r="AM18" s="9">
        <f t="shared" si="12"/>
        <v>1864.68255843</v>
      </c>
      <c r="AN18" s="9">
        <f t="shared" si="12"/>
        <v>1391.5009341099997</v>
      </c>
      <c r="AO18" s="54"/>
    </row>
    <row r="23" spans="1:41" ht="23.25" x14ac:dyDescent="0.35">
      <c r="B23" s="12" t="s">
        <v>45</v>
      </c>
      <c r="C23" s="13"/>
      <c r="D23" s="13"/>
      <c r="E23" s="13"/>
      <c r="H23" s="12" t="s">
        <v>45</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5" spans="1:41" x14ac:dyDescent="0.3">
      <c r="A25" s="1">
        <v>1</v>
      </c>
      <c r="B25" s="3" t="s">
        <v>116</v>
      </c>
      <c r="C25" s="102" t="s">
        <v>135</v>
      </c>
      <c r="D25" s="102" t="s">
        <v>140</v>
      </c>
      <c r="E25" s="102" t="s">
        <v>4</v>
      </c>
      <c r="H25" s="3" t="s">
        <v>116</v>
      </c>
      <c r="I25" s="102" t="s">
        <v>6</v>
      </c>
      <c r="J25" s="102" t="s">
        <v>7</v>
      </c>
      <c r="K25" s="102" t="s">
        <v>8</v>
      </c>
      <c r="L25" s="102" t="s">
        <v>9</v>
      </c>
      <c r="M25" s="102" t="s">
        <v>10</v>
      </c>
      <c r="N25" s="102" t="s">
        <v>11</v>
      </c>
      <c r="O25" s="102" t="s">
        <v>12</v>
      </c>
      <c r="P25" s="102" t="s">
        <v>13</v>
      </c>
      <c r="Q25" s="102" t="s">
        <v>14</v>
      </c>
      <c r="R25" s="102" t="s">
        <v>15</v>
      </c>
      <c r="S25" s="102" t="s">
        <v>16</v>
      </c>
      <c r="T25" s="102" t="s">
        <v>17</v>
      </c>
      <c r="U25" s="102" t="s">
        <v>18</v>
      </c>
      <c r="V25" s="102" t="s">
        <v>19</v>
      </c>
      <c r="W25" s="102" t="s">
        <v>20</v>
      </c>
      <c r="X25" s="102" t="s">
        <v>21</v>
      </c>
      <c r="Y25" s="102" t="s">
        <v>22</v>
      </c>
      <c r="Z25" s="102" t="s">
        <v>23</v>
      </c>
      <c r="AA25" s="102" t="s">
        <v>24</v>
      </c>
      <c r="AB25" s="102" t="s">
        <v>2</v>
      </c>
      <c r="AC25" s="102" t="s">
        <v>25</v>
      </c>
      <c r="AD25" s="102" t="s">
        <v>26</v>
      </c>
      <c r="AE25" s="102" t="s">
        <v>27</v>
      </c>
      <c r="AF25" s="102" t="s">
        <v>3</v>
      </c>
      <c r="AG25" s="102" t="s">
        <v>124</v>
      </c>
      <c r="AH25" s="102" t="s">
        <v>126</v>
      </c>
      <c r="AI25" s="102" t="s">
        <v>135</v>
      </c>
      <c r="AJ25" s="102" t="s">
        <v>136</v>
      </c>
      <c r="AK25" s="102" t="s">
        <v>138</v>
      </c>
      <c r="AL25" s="102" t="s">
        <v>139</v>
      </c>
      <c r="AM25" s="102" t="s">
        <v>140</v>
      </c>
      <c r="AN25" s="102" t="s">
        <v>144</v>
      </c>
    </row>
    <row r="26" spans="1:41" x14ac:dyDescent="0.3">
      <c r="A26" s="1">
        <v>2</v>
      </c>
      <c r="B26" s="3" t="s">
        <v>51</v>
      </c>
      <c r="C26" s="102"/>
      <c r="D26" s="102"/>
      <c r="E26" s="102"/>
      <c r="H26" s="3" t="s">
        <v>51</v>
      </c>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row>
    <row r="27" spans="1:41" x14ac:dyDescent="0.3">
      <c r="A27" s="1">
        <v>3</v>
      </c>
    </row>
    <row r="28" spans="1:41" x14ac:dyDescent="0.3">
      <c r="A28" s="1">
        <v>4</v>
      </c>
      <c r="B28" s="6" t="s">
        <v>132</v>
      </c>
      <c r="C28" s="9">
        <f>+HLOOKUP($C$25,$H$25:$AU$37,A28,FALSE)</f>
        <v>40.970700000000001</v>
      </c>
      <c r="D28" s="9">
        <f>+HLOOKUP($D$25,$H$25:$AU$37,A28,FALSE)</f>
        <v>33.070700000000002</v>
      </c>
      <c r="E28" s="38">
        <f>D28/C28-1</f>
        <v>-0.19282072310211928</v>
      </c>
      <c r="H28" s="6" t="s">
        <v>117</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3">+AF37</f>
        <v>23.770700000000005</v>
      </c>
      <c r="AH28" s="9">
        <f t="shared" si="13"/>
        <v>28.670700000000004</v>
      </c>
      <c r="AI28" s="9">
        <f>+AH37</f>
        <v>40.970700000000001</v>
      </c>
      <c r="AJ28" s="9">
        <v>27.37070000000001</v>
      </c>
      <c r="AK28" s="9">
        <v>30.970700000000008</v>
      </c>
      <c r="AL28" s="9">
        <f>+AK37</f>
        <v>21.771700000000006</v>
      </c>
      <c r="AM28" s="9">
        <f>+AL37</f>
        <v>33.070700000000002</v>
      </c>
      <c r="AN28" s="9">
        <f>+AM37</f>
        <v>21.305700000000009</v>
      </c>
    </row>
    <row r="29" spans="1:41" ht="8.25" customHeight="1" x14ac:dyDescent="0.3">
      <c r="A29" s="1">
        <v>5</v>
      </c>
      <c r="I29" s="22"/>
      <c r="J29" s="22"/>
      <c r="K29" s="22"/>
      <c r="L29" s="22"/>
      <c r="M29" s="22"/>
      <c r="N29" s="22"/>
      <c r="O29" s="22"/>
      <c r="P29" s="22"/>
    </row>
    <row r="30" spans="1:41" x14ac:dyDescent="0.3">
      <c r="A30" s="1">
        <v>6</v>
      </c>
      <c r="B30" s="5" t="s">
        <v>118</v>
      </c>
      <c r="C30" s="8">
        <f>+HLOOKUP($C$25,$H$25:$AU$37,A30,FALSE)</f>
        <v>29</v>
      </c>
      <c r="D30" s="8">
        <f>+HLOOKUP($D$25,$H$25:$AU$37,A30,FALSE)</f>
        <v>20.379000000000005</v>
      </c>
      <c r="E30" s="37">
        <f>+D30/C30-1</f>
        <v>-0.29727586206896539</v>
      </c>
      <c r="H30" s="5" t="s">
        <v>118</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row>
    <row r="31" spans="1:41" x14ac:dyDescent="0.3">
      <c r="A31" s="1">
        <v>7</v>
      </c>
      <c r="B31" s="5" t="s">
        <v>134</v>
      </c>
      <c r="C31" s="8">
        <f>+HLOOKUP($C$25,$H$25:$AU$37,A31,FALSE)</f>
        <v>-21.4</v>
      </c>
      <c r="D31" s="8">
        <f>+HLOOKUP($D$25,$H$25:$AU$37,A31,FALSE)</f>
        <v>-22.776</v>
      </c>
      <c r="E31" s="37">
        <f t="shared" ref="E31:E32" si="14">+D31/C31-1</f>
        <v>6.4299065420560853E-2</v>
      </c>
      <c r="H31" s="5" t="s">
        <v>119</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row>
    <row r="32" spans="1:41" x14ac:dyDescent="0.3">
      <c r="A32" s="1">
        <v>8</v>
      </c>
      <c r="B32" s="5" t="s">
        <v>120</v>
      </c>
      <c r="C32" s="8">
        <f>+HLOOKUP($C$25,$H$25:$AU$37,A32,FALSE)</f>
        <v>-20.9</v>
      </c>
      <c r="D32" s="8">
        <f>+HLOOKUP($D$25,$H$25:$AU$37,A32,FALSE)</f>
        <v>-8.32</v>
      </c>
      <c r="E32" s="37">
        <f t="shared" si="14"/>
        <v>-0.60191387559808607</v>
      </c>
      <c r="H32" s="5" t="s">
        <v>120</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row>
    <row r="33" spans="1:40" x14ac:dyDescent="0.3">
      <c r="A33" s="1">
        <v>9</v>
      </c>
      <c r="B33" s="20" t="s">
        <v>121</v>
      </c>
      <c r="C33" s="21">
        <f>+HLOOKUP($C$25,$H$25:$AU$37,A33,FALSE)</f>
        <v>-13.299999999999997</v>
      </c>
      <c r="D33" s="21">
        <f>+HLOOKUP($D$25,$H$25:$AU$37,A33,FALSE)</f>
        <v>-10.716999999999995</v>
      </c>
      <c r="E33" s="56">
        <f>+D33/C33-1</f>
        <v>-0.19421052631578961</v>
      </c>
      <c r="H33" s="20" t="s">
        <v>121</v>
      </c>
      <c r="I33" s="23"/>
      <c r="J33" s="23"/>
      <c r="K33" s="23"/>
      <c r="L33" s="23"/>
      <c r="M33" s="23"/>
      <c r="N33" s="23"/>
      <c r="O33" s="23"/>
      <c r="P33" s="23"/>
      <c r="Q33" s="21">
        <v>-3.0490999999999984</v>
      </c>
      <c r="R33" s="21">
        <v>0.96990000000000065</v>
      </c>
      <c r="S33" s="21">
        <f t="shared" ref="S33" si="15">SUM(S30:S32)</f>
        <v>2.633999999999999</v>
      </c>
      <c r="T33" s="21">
        <f t="shared" ref="T33" si="16">SUM(T30:T32)</f>
        <v>-20.722499999999997</v>
      </c>
      <c r="U33" s="21">
        <f t="shared" ref="U33" si="17">SUM(U30:U32)</f>
        <v>16.568999999999999</v>
      </c>
      <c r="V33" s="21">
        <f t="shared" ref="V33:X33" si="18">SUM(V30:V32)</f>
        <v>-1.1770000000000018</v>
      </c>
      <c r="W33" s="21">
        <f t="shared" si="18"/>
        <v>6.6410000000000009</v>
      </c>
      <c r="X33" s="21">
        <f t="shared" si="18"/>
        <v>11.280999999999999</v>
      </c>
      <c r="Y33" s="21">
        <f>SUM(Y30:Y32)</f>
        <v>-10.9</v>
      </c>
      <c r="Z33" s="21">
        <v>12.5</v>
      </c>
      <c r="AA33" s="21">
        <v>-5.9</v>
      </c>
      <c r="AB33" s="21">
        <f t="shared" ref="AB33:AN33" si="19">+AB30+AB31+AB32</f>
        <v>-22.186</v>
      </c>
      <c r="AC33" s="21">
        <f t="shared" si="19"/>
        <v>-11</v>
      </c>
      <c r="AD33" s="21">
        <f t="shared" si="19"/>
        <v>4.3000000000000007</v>
      </c>
      <c r="AE33" s="21">
        <f t="shared" si="19"/>
        <v>-3.7999999999999994</v>
      </c>
      <c r="AF33" s="21">
        <f t="shared" si="19"/>
        <v>9.8999999999999986</v>
      </c>
      <c r="AG33" s="21">
        <f t="shared" si="19"/>
        <v>5.5</v>
      </c>
      <c r="AH33" s="21">
        <f t="shared" si="19"/>
        <v>12.500000000000002</v>
      </c>
      <c r="AI33" s="21">
        <f t="shared" si="19"/>
        <v>-13.299999999999997</v>
      </c>
      <c r="AJ33" s="21">
        <f t="shared" si="19"/>
        <v>3.6999999999999997</v>
      </c>
      <c r="AK33" s="21">
        <f t="shared" si="19"/>
        <v>-8.8529999999999998</v>
      </c>
      <c r="AL33" s="21">
        <f t="shared" si="19"/>
        <v>11.252999999999995</v>
      </c>
      <c r="AM33" s="21">
        <f t="shared" si="19"/>
        <v>-10.716999999999995</v>
      </c>
      <c r="AN33" s="21">
        <f t="shared" si="19"/>
        <v>5.8169999999999948</v>
      </c>
    </row>
    <row r="34" spans="1:40" ht="8.25" customHeight="1" x14ac:dyDescent="0.3">
      <c r="A34" s="1">
        <v>10</v>
      </c>
      <c r="I34" s="22"/>
      <c r="J34" s="22"/>
      <c r="K34" s="22"/>
      <c r="L34" s="22"/>
      <c r="M34" s="22"/>
      <c r="N34" s="22"/>
      <c r="O34" s="22"/>
      <c r="P34" s="22"/>
    </row>
    <row r="35" spans="1:40" x14ac:dyDescent="0.3">
      <c r="A35" s="1">
        <v>11</v>
      </c>
      <c r="B35" s="5" t="s">
        <v>122</v>
      </c>
      <c r="C35" s="8">
        <f>+HLOOKUP($C$25,$H$25:$AU$37,A35,FALSE)</f>
        <v>-0.3</v>
      </c>
      <c r="D35" s="8">
        <f>+HLOOKUP($D$25,$H$25:$AU$37,A35,FALSE)</f>
        <v>-1.048</v>
      </c>
      <c r="E35" s="37" t="s">
        <v>43</v>
      </c>
      <c r="H35" s="5" t="s">
        <v>122</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row>
    <row r="36" spans="1:40" ht="8.25" customHeight="1" x14ac:dyDescent="0.3">
      <c r="A36" s="1">
        <v>12</v>
      </c>
      <c r="I36" s="22"/>
      <c r="J36" s="22"/>
      <c r="K36" s="22"/>
      <c r="L36" s="22"/>
      <c r="M36" s="22"/>
      <c r="N36" s="22"/>
      <c r="O36" s="22"/>
      <c r="P36" s="22"/>
    </row>
    <row r="37" spans="1:40" x14ac:dyDescent="0.3">
      <c r="A37" s="1">
        <v>13</v>
      </c>
      <c r="B37" s="6" t="s">
        <v>123</v>
      </c>
      <c r="C37" s="9">
        <f>+HLOOKUP($C$25,$H$25:$AU$37,A37,FALSE)</f>
        <v>27.370700000000003</v>
      </c>
      <c r="D37" s="9">
        <f>+HLOOKUP($D$25,$H$25:$AU$37,A37,FALSE)</f>
        <v>21.305700000000009</v>
      </c>
      <c r="E37" s="38">
        <f>D37/C37-1</f>
        <v>-0.22158731782526542</v>
      </c>
      <c r="H37" s="6" t="s">
        <v>123</v>
      </c>
      <c r="I37" s="19"/>
      <c r="J37" s="19"/>
      <c r="K37" s="19"/>
      <c r="L37" s="19"/>
      <c r="M37" s="19"/>
      <c r="N37" s="19"/>
      <c r="O37" s="19"/>
      <c r="P37" s="19"/>
      <c r="Q37" s="9">
        <f t="shared" ref="Q37:X37" si="20">Q35+Q33+Q28</f>
        <v>39.150300000000001</v>
      </c>
      <c r="R37" s="9">
        <f t="shared" si="20"/>
        <v>40.120200000000004</v>
      </c>
      <c r="S37" s="9">
        <f t="shared" si="20"/>
        <v>42.754200000000004</v>
      </c>
      <c r="T37" s="9">
        <f t="shared" si="20"/>
        <v>22.031700000000008</v>
      </c>
      <c r="U37" s="9">
        <f t="shared" si="20"/>
        <v>38.978700000000003</v>
      </c>
      <c r="V37" s="9">
        <f t="shared" si="20"/>
        <v>37.817700000000002</v>
      </c>
      <c r="W37" s="9">
        <f t="shared" si="20"/>
        <v>43.233699999999999</v>
      </c>
      <c r="X37" s="9">
        <f t="shared" si="20"/>
        <v>52.870699999999999</v>
      </c>
      <c r="Y37" s="9">
        <f>Y35+Y33+Y28</f>
        <v>40.570700000000002</v>
      </c>
      <c r="Z37" s="9">
        <f>Z35+Z33+Z28</f>
        <v>52.370699999999999</v>
      </c>
      <c r="AA37" s="9">
        <f>AA35+AA33+AA28</f>
        <v>46.370699999999999</v>
      </c>
      <c r="AB37" s="9">
        <f t="shared" ref="AB37:AH37" si="21">+AB28+AB33+AB35</f>
        <v>23.706199999999999</v>
      </c>
      <c r="AC37" s="9">
        <f t="shared" si="21"/>
        <v>12.970700000000004</v>
      </c>
      <c r="AD37" s="9">
        <f t="shared" si="21"/>
        <v>17.470700000000004</v>
      </c>
      <c r="AE37" s="9">
        <f t="shared" si="21"/>
        <v>13.370700000000005</v>
      </c>
      <c r="AF37" s="9">
        <f t="shared" si="21"/>
        <v>23.770700000000005</v>
      </c>
      <c r="AG37" s="9">
        <f t="shared" si="21"/>
        <v>28.670700000000004</v>
      </c>
      <c r="AH37" s="9">
        <f t="shared" si="21"/>
        <v>40.970700000000001</v>
      </c>
      <c r="AI37" s="9">
        <f>+AI28+AI33+AI35</f>
        <v>27.370700000000003</v>
      </c>
      <c r="AJ37" s="9">
        <f>+AJ28+AJ33+AJ35</f>
        <v>30.970700000000008</v>
      </c>
      <c r="AK37" s="9">
        <f t="shared" ref="AK37" si="22">+AK28+AK33+AK35</f>
        <v>21.771700000000006</v>
      </c>
      <c r="AL37" s="9">
        <f>+AL28+AL33+AL35</f>
        <v>33.070700000000002</v>
      </c>
      <c r="AM37" s="9">
        <f>+AM28+AM33+AM35</f>
        <v>21.305700000000009</v>
      </c>
      <c r="AN37" s="9">
        <f>+AN28+AN33+AN35</f>
        <v>27.720700000000001</v>
      </c>
    </row>
    <row r="40" spans="1:40" ht="93.75" customHeight="1" x14ac:dyDescent="0.3">
      <c r="B40" s="105" t="s">
        <v>130</v>
      </c>
      <c r="C40" s="109"/>
      <c r="D40" s="109"/>
      <c r="E40" s="109"/>
    </row>
  </sheetData>
  <mergeCells count="71">
    <mergeCell ref="Z25:Z26"/>
    <mergeCell ref="AM6:AM7"/>
    <mergeCell ref="AM25:AM26"/>
    <mergeCell ref="AL6:AL7"/>
    <mergeCell ref="AL25:AL26"/>
    <mergeCell ref="AK6:AK7"/>
    <mergeCell ref="AK25:AK26"/>
    <mergeCell ref="AA6:AA7"/>
    <mergeCell ref="AA25:AA26"/>
    <mergeCell ref="AD25:AD26"/>
    <mergeCell ref="AE25:AE26"/>
    <mergeCell ref="AD6:AD7"/>
    <mergeCell ref="N6:N7"/>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J25:J26"/>
    <mergeCell ref="Z6:Z7"/>
    <mergeCell ref="P25:P26"/>
    <mergeCell ref="Q25:Q26"/>
    <mergeCell ref="R25:R26"/>
    <mergeCell ref="K25:K26"/>
    <mergeCell ref="L25:L26"/>
    <mergeCell ref="M25:M26"/>
    <mergeCell ref="N25:N26"/>
    <mergeCell ref="O25:O26"/>
    <mergeCell ref="I6:I7"/>
    <mergeCell ref="J6:J7"/>
    <mergeCell ref="K6:K7"/>
    <mergeCell ref="L6:L7"/>
    <mergeCell ref="M6:M7"/>
    <mergeCell ref="X6:X7"/>
    <mergeCell ref="X25:X26"/>
    <mergeCell ref="W6:W7"/>
    <mergeCell ref="O6:O7"/>
    <mergeCell ref="P6:P7"/>
    <mergeCell ref="Q6:Q7"/>
    <mergeCell ref="S25:S26"/>
    <mergeCell ref="T25:T26"/>
    <mergeCell ref="U25:U26"/>
    <mergeCell ref="W25:W26"/>
    <mergeCell ref="V25:V26"/>
    <mergeCell ref="R6:R7"/>
    <mergeCell ref="S6:S7"/>
    <mergeCell ref="T6:T7"/>
    <mergeCell ref="U6:U7"/>
    <mergeCell ref="V6:V7"/>
    <mergeCell ref="C6:C7"/>
    <mergeCell ref="D6:D7"/>
    <mergeCell ref="E6:E7"/>
    <mergeCell ref="C25:C26"/>
    <mergeCell ref="D25:D26"/>
    <mergeCell ref="E25:E26"/>
    <mergeCell ref="AN6:AN7"/>
    <mergeCell ref="AN25:AN26"/>
    <mergeCell ref="AI6:AI7"/>
    <mergeCell ref="AI25:AI26"/>
    <mergeCell ref="AH6:AH7"/>
    <mergeCell ref="AH25:AH26"/>
    <mergeCell ref="AJ6:AJ7"/>
    <mergeCell ref="AJ25:AJ26"/>
  </mergeCells>
  <phoneticPr fontId="14"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A24069-4881-426E-A50B-2B90C6FAFD2F}">
  <ds:schemaRefs>
    <ds:schemaRef ds:uri="http://purl.org/dc/elements/1.1/"/>
    <ds:schemaRef ds:uri="http://purl.org/dc/terms/"/>
    <ds:schemaRef ds:uri="af28b929-2fa0-4937-be7e-13907b45f7fc"/>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5F6794-A2FB-4EC1-92F9-2F6866DB1C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2022-04-21T20:25:10Z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