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colbun-my.sharepoint.com/personal/mguell_colbun_cl/Documents/Investor Relations/01 AARR/4T23/"/>
    </mc:Choice>
  </mc:AlternateContent>
  <xr:revisionPtr revIDLastSave="8" documentId="8_{E3709ACD-2B46-4E02-86B7-070EF5398A5C}" xr6:coauthVersionLast="47" xr6:coauthVersionMax="47" xr10:uidLastSave="{7FCDCFDA-E3E0-4731-BD0D-164BEE1CC78F}"/>
  <bookViews>
    <workbookView xWindow="-28920" yWindow="-120" windowWidth="29040" windowHeight="15720" firstSheet="2" activeTab="7" xr2:uid="{00000000-000D-0000-FFFF-FFFF00000000}"/>
  </bookViews>
  <sheets>
    <sheet name="Index" sheetId="10" r:id="rId1"/>
    <sheet name="Installed Capacity" sheetId="12" r:id="rId2"/>
    <sheet name="Physical Sales &amp; Gx." sheetId="6" r:id="rId3"/>
    <sheet name="Income Statement" sheetId="1" r:id="rId4"/>
    <sheet name="Non-Operating Income" sheetId="3" r:id="rId5"/>
    <sheet name="Operating Income" sheetId="2" r:id="rId6"/>
    <sheet name="Balance Sheet" sheetId="4" r:id="rId7"/>
    <sheet name="Main Debt Items" sheetId="7" r:id="rId8"/>
    <sheet name="Amortization Profile" sheetId="8" r:id="rId9"/>
    <sheet name="Cash Flow" sheetId="5" r:id="rId10"/>
  </sheets>
  <externalReferences>
    <externalReference r:id="rId11"/>
    <externalReference r:id="rId12"/>
    <externalReference r:id="rId1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6" i="5" l="1"/>
  <c r="AV11" i="5"/>
  <c r="AV12" i="5"/>
  <c r="AT12" i="5"/>
  <c r="AT13" i="5"/>
  <c r="AV16" i="5"/>
  <c r="AS33" i="2"/>
  <c r="AT33" i="2"/>
  <c r="AS31" i="2"/>
  <c r="AT31" i="2"/>
  <c r="AR31" i="2"/>
  <c r="AR33" i="2" s="1"/>
  <c r="AH18" i="4"/>
  <c r="AH16" i="4"/>
  <c r="AH15" i="4"/>
  <c r="AH14" i="4"/>
  <c r="AH10" i="4"/>
  <c r="AH9" i="4"/>
  <c r="AF10" i="4"/>
  <c r="AF9" i="4"/>
  <c r="AJ16" i="4" l="1"/>
  <c r="AJ15" i="4"/>
  <c r="AJ14" i="4"/>
  <c r="AJ10" i="4"/>
  <c r="AJ9" i="4"/>
  <c r="AJ37" i="4"/>
  <c r="AJ18" i="4" s="1"/>
  <c r="AJ31" i="4"/>
  <c r="AJ12" i="4" s="1"/>
  <c r="AV13" i="5"/>
  <c r="AV33" i="5" l="1"/>
  <c r="AU25" i="7" l="1"/>
  <c r="AU11" i="7"/>
  <c r="AR30" i="5"/>
  <c r="AU12" i="5"/>
  <c r="AV14" i="5" l="1"/>
  <c r="AS11" i="2" l="1"/>
  <c r="AS12" i="2"/>
  <c r="AR17" i="2"/>
  <c r="AS17" i="2"/>
  <c r="AU17" i="2"/>
  <c r="AV17" i="2"/>
  <c r="AR52" i="2"/>
  <c r="AV67" i="2"/>
  <c r="AV10" i="2"/>
  <c r="AV25" i="2" l="1"/>
  <c r="AV31" i="2" s="1"/>
  <c r="AV33" i="2" s="1"/>
  <c r="AV44" i="3" l="1"/>
  <c r="AV40" i="3"/>
  <c r="AV47" i="3"/>
  <c r="AV46" i="3"/>
  <c r="AR15" i="3"/>
  <c r="E35" i="1"/>
  <c r="E31" i="1"/>
  <c r="E46" i="1"/>
  <c r="AJ43" i="1"/>
  <c r="AV46" i="6"/>
  <c r="AR51" i="6"/>
  <c r="AV17" i="6"/>
  <c r="AV29" i="6"/>
  <c r="AV9" i="6"/>
  <c r="C26" i="12" l="1"/>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G10" i="5" s="1"/>
  <c r="G11" i="5" s="1"/>
  <c r="G12" i="5" s="1"/>
  <c r="G13" i="5" s="1"/>
  <c r="G14" i="5" s="1"/>
  <c r="G15" i="5" s="1"/>
  <c r="G16" i="5" s="1"/>
  <c r="G17" i="5" s="1"/>
  <c r="G18" i="5" s="1"/>
  <c r="D25" i="5"/>
  <c r="C25" i="5"/>
  <c r="B26" i="7"/>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D30" i="3"/>
  <c r="C30" i="3"/>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D53" i="2" s="1"/>
  <c r="C42" i="2"/>
  <c r="C53" i="2" s="1"/>
  <c r="G7" i="1"/>
  <c r="G8" i="1" s="1"/>
  <c r="G9" i="1" s="1"/>
  <c r="AR39" i="6"/>
  <c r="G37" i="6"/>
  <c r="G38" i="6" s="1"/>
  <c r="G39" i="6" s="1"/>
  <c r="G40" i="6" s="1"/>
  <c r="G41" i="6" s="1"/>
  <c r="D36" i="6"/>
  <c r="C36" i="6"/>
  <c r="C11" i="6"/>
  <c r="G7" i="6"/>
  <c r="G8" i="6" s="1"/>
  <c r="G9" i="6" s="1"/>
  <c r="G10" i="6" s="1"/>
  <c r="G11" i="6" s="1"/>
  <c r="D11" i="6" s="1"/>
  <c r="C29" i="4" l="1"/>
  <c r="C23" i="7"/>
  <c r="D50" i="2"/>
  <c r="C63" i="2"/>
  <c r="C50" i="2"/>
  <c r="D52" i="2"/>
  <c r="G35" i="3"/>
  <c r="G36" i="3" s="1"/>
  <c r="G37" i="3" s="1"/>
  <c r="C34" i="3"/>
  <c r="D34" i="3"/>
  <c r="D9" i="4"/>
  <c r="G10" i="4"/>
  <c r="D9" i="1"/>
  <c r="G10" i="1"/>
  <c r="G33" i="4"/>
  <c r="C33" i="4" s="1"/>
  <c r="D41" i="6"/>
  <c r="C41" i="6"/>
  <c r="G42" i="6"/>
  <c r="C9" i="7"/>
  <c r="F10" i="7"/>
  <c r="B9" i="7"/>
  <c r="C49" i="2"/>
  <c r="D49" i="2"/>
  <c r="G10" i="3"/>
  <c r="D31" i="4"/>
  <c r="C48" i="2"/>
  <c r="D48" i="2"/>
  <c r="C47" i="2"/>
  <c r="D47" i="2"/>
  <c r="D29" i="4"/>
  <c r="C46" i="2"/>
  <c r="D46" i="2"/>
  <c r="C28" i="4"/>
  <c r="B23" i="7"/>
  <c r="D45" i="2"/>
  <c r="D33" i="3"/>
  <c r="D67" i="2"/>
  <c r="C66" i="2"/>
  <c r="D66" i="2"/>
  <c r="C36" i="3"/>
  <c r="D65" i="2"/>
  <c r="D63" i="2"/>
  <c r="C62" i="2"/>
  <c r="D62" i="2"/>
  <c r="D9" i="3"/>
  <c r="C61" i="2"/>
  <c r="D61" i="2"/>
  <c r="C25" i="7"/>
  <c r="D59" i="2"/>
  <c r="C57" i="2"/>
  <c r="D57" i="2"/>
  <c r="D28" i="4"/>
  <c r="C56" i="2"/>
  <c r="D56" i="2"/>
  <c r="C33" i="3"/>
  <c r="C55" i="2"/>
  <c r="D55" i="2"/>
  <c r="C54" i="2"/>
  <c r="D54" i="2"/>
  <c r="D36" i="3"/>
  <c r="G11" i="2"/>
  <c r="D11" i="2" s="1"/>
  <c r="G12" i="6"/>
  <c r="D18" i="5"/>
  <c r="D16" i="5"/>
  <c r="D14" i="5"/>
  <c r="D13" i="5"/>
  <c r="D12" i="5"/>
  <c r="D11" i="5"/>
  <c r="AU16" i="5"/>
  <c r="AU38" i="3"/>
  <c r="AU12" i="3"/>
  <c r="AU13" i="3"/>
  <c r="AU11" i="3"/>
  <c r="AU10" i="3"/>
  <c r="AU9" i="3"/>
  <c r="AU17" i="3"/>
  <c r="AI16" i="4"/>
  <c r="AI15" i="4"/>
  <c r="AI14" i="4"/>
  <c r="AI18" i="4" s="1"/>
  <c r="E33" i="3" l="1"/>
  <c r="AU15" i="3"/>
  <c r="C35" i="3"/>
  <c r="D35" i="3"/>
  <c r="E35" i="3" s="1"/>
  <c r="D42" i="6"/>
  <c r="D39" i="6" s="1"/>
  <c r="C42" i="6"/>
  <c r="C39" i="6" s="1"/>
  <c r="G43" i="6"/>
  <c r="B10" i="7"/>
  <c r="F11" i="7"/>
  <c r="C10" i="7"/>
  <c r="G34" i="4"/>
  <c r="D33" i="4"/>
  <c r="G13" i="6"/>
  <c r="C12" i="6"/>
  <c r="D12" i="6"/>
  <c r="C10" i="1"/>
  <c r="D10" i="1"/>
  <c r="G11" i="1"/>
  <c r="G11" i="4"/>
  <c r="D10" i="4"/>
  <c r="G11" i="3"/>
  <c r="D10" i="3"/>
  <c r="G38" i="3"/>
  <c r="C11" i="2"/>
  <c r="G12" i="2"/>
  <c r="D12" i="2" s="1"/>
  <c r="E16" i="5"/>
  <c r="E13" i="5"/>
  <c r="E11" i="5"/>
  <c r="E35" i="5"/>
  <c r="E32" i="5"/>
  <c r="E30" i="5"/>
  <c r="G14" i="6" l="1"/>
  <c r="C13" i="6"/>
  <c r="D13" i="6"/>
  <c r="G12" i="3"/>
  <c r="D11" i="3"/>
  <c r="D11" i="1"/>
  <c r="C11" i="1"/>
  <c r="G12" i="1"/>
  <c r="G13" i="1" s="1"/>
  <c r="G35" i="4"/>
  <c r="D34" i="4"/>
  <c r="C34" i="4"/>
  <c r="G44" i="6"/>
  <c r="C43" i="6"/>
  <c r="D43" i="6"/>
  <c r="C11" i="7"/>
  <c r="F12" i="7"/>
  <c r="G12" i="4"/>
  <c r="G39" i="3"/>
  <c r="D38" i="3"/>
  <c r="C12" i="2"/>
  <c r="G13" i="2"/>
  <c r="D13" i="2" s="1"/>
  <c r="G36" i="4" l="1"/>
  <c r="C35" i="4"/>
  <c r="D35" i="4"/>
  <c r="D13" i="1"/>
  <c r="G14" i="1"/>
  <c r="G13" i="3"/>
  <c r="D12" i="3"/>
  <c r="G13" i="4"/>
  <c r="D12" i="4"/>
  <c r="B12" i="7"/>
  <c r="F13" i="7"/>
  <c r="G45" i="6"/>
  <c r="G46" i="6" s="1"/>
  <c r="C44" i="6"/>
  <c r="D44" i="6"/>
  <c r="G40" i="3"/>
  <c r="G15" i="6"/>
  <c r="C13" i="2"/>
  <c r="G14" i="2"/>
  <c r="D14" i="2" s="1"/>
  <c r="AU13" i="5"/>
  <c r="AU14" i="5" l="1"/>
  <c r="G41" i="3"/>
  <c r="C40" i="3"/>
  <c r="D40" i="3"/>
  <c r="E40" i="3" s="1"/>
  <c r="D46" i="6"/>
  <c r="G47" i="6"/>
  <c r="G48" i="6" s="1"/>
  <c r="G14" i="4"/>
  <c r="C14" i="1"/>
  <c r="D14" i="1"/>
  <c r="G15" i="1"/>
  <c r="G16" i="6"/>
  <c r="G17" i="6" s="1"/>
  <c r="C15" i="6"/>
  <c r="D15" i="6"/>
  <c r="G14" i="3"/>
  <c r="D13" i="3"/>
  <c r="G37" i="4"/>
  <c r="C14" i="2"/>
  <c r="G15" i="2"/>
  <c r="D15" i="2" s="1"/>
  <c r="AU37" i="5"/>
  <c r="AT25" i="7"/>
  <c r="AT27" i="7" s="1"/>
  <c r="AT11" i="7"/>
  <c r="AU18" i="5" l="1"/>
  <c r="AV28" i="5"/>
  <c r="AV37" i="5" s="1"/>
  <c r="G15" i="3"/>
  <c r="G18" i="6"/>
  <c r="D17" i="6"/>
  <c r="D14" i="4"/>
  <c r="G15" i="4"/>
  <c r="D48" i="6"/>
  <c r="G49" i="6"/>
  <c r="C48" i="6"/>
  <c r="D15" i="1"/>
  <c r="G16" i="1"/>
  <c r="C15" i="1"/>
  <c r="D37" i="4"/>
  <c r="G42" i="3"/>
  <c r="C15" i="2"/>
  <c r="G16" i="2"/>
  <c r="AH31" i="4"/>
  <c r="AV9" i="5" l="1"/>
  <c r="G43" i="3"/>
  <c r="C42" i="3"/>
  <c r="D42" i="3"/>
  <c r="E42" i="3" s="1"/>
  <c r="D49" i="6"/>
  <c r="C49" i="6"/>
  <c r="G50" i="6"/>
  <c r="D15" i="4"/>
  <c r="G16" i="4"/>
  <c r="D16" i="1"/>
  <c r="G17" i="1"/>
  <c r="C16" i="1"/>
  <c r="G19" i="6"/>
  <c r="G16" i="3"/>
  <c r="D15" i="3"/>
  <c r="G17" i="2"/>
  <c r="D17" i="2" s="1"/>
  <c r="AH12" i="4"/>
  <c r="AH37" i="4"/>
  <c r="AI37" i="4"/>
  <c r="E36" i="3"/>
  <c r="AT15" i="3"/>
  <c r="AP46" i="3"/>
  <c r="AT47" i="3"/>
  <c r="AU46" i="3"/>
  <c r="AU23" i="3" s="1"/>
  <c r="AU47" i="3"/>
  <c r="AV18" i="5" l="1"/>
  <c r="G17" i="3"/>
  <c r="D17" i="1"/>
  <c r="G18" i="1"/>
  <c r="C17" i="1"/>
  <c r="D16" i="4"/>
  <c r="C16" i="4"/>
  <c r="G17" i="4"/>
  <c r="D50" i="6"/>
  <c r="G51" i="6"/>
  <c r="C50" i="6"/>
  <c r="G20" i="6"/>
  <c r="D19" i="6"/>
  <c r="C19" i="6"/>
  <c r="G44" i="3"/>
  <c r="G18" i="2"/>
  <c r="D18" i="2" s="1"/>
  <c r="E50" i="2"/>
  <c r="AU45" i="2"/>
  <c r="AG21" i="1"/>
  <c r="AG27" i="1" s="1"/>
  <c r="AH21" i="1"/>
  <c r="AH27" i="1" s="1"/>
  <c r="AI21" i="1"/>
  <c r="AI27" i="1" s="1"/>
  <c r="D9" i="6"/>
  <c r="AS24" i="6"/>
  <c r="AT24" i="6"/>
  <c r="AU24" i="6"/>
  <c r="AS9" i="6"/>
  <c r="AT9" i="6"/>
  <c r="AU9" i="6"/>
  <c r="AR29" i="6"/>
  <c r="AS29" i="6"/>
  <c r="AT29" i="6"/>
  <c r="AU29" i="6"/>
  <c r="AU20" i="6"/>
  <c r="G45" i="3" l="1"/>
  <c r="D44" i="3"/>
  <c r="G21" i="6"/>
  <c r="D20" i="6"/>
  <c r="G18" i="4"/>
  <c r="D18" i="4" s="1"/>
  <c r="D17" i="3"/>
  <c r="G18" i="3"/>
  <c r="D51" i="6"/>
  <c r="D18" i="1"/>
  <c r="G19" i="1"/>
  <c r="C18" i="1"/>
  <c r="C18" i="2"/>
  <c r="G19" i="2"/>
  <c r="D19" i="2" s="1"/>
  <c r="C9" i="6"/>
  <c r="D19" i="1" l="1"/>
  <c r="G20" i="1"/>
  <c r="G21" i="1" s="1"/>
  <c r="C19" i="1"/>
  <c r="G19" i="3"/>
  <c r="G46" i="3"/>
  <c r="G22" i="6"/>
  <c r="C21" i="6"/>
  <c r="D21" i="6"/>
  <c r="G20" i="2"/>
  <c r="D20" i="2" s="1"/>
  <c r="C19" i="2"/>
  <c r="AS23" i="7"/>
  <c r="AS9" i="7"/>
  <c r="AS11" i="7" s="1"/>
  <c r="G23" i="6" l="1"/>
  <c r="D22" i="6"/>
  <c r="C22" i="6"/>
  <c r="G47" i="3"/>
  <c r="D46" i="3"/>
  <c r="G22" i="1"/>
  <c r="G23" i="1" s="1"/>
  <c r="D21" i="1"/>
  <c r="D19" i="3"/>
  <c r="G20" i="3"/>
  <c r="G21" i="2"/>
  <c r="D21" i="2" s="1"/>
  <c r="C20" i="2"/>
  <c r="C19"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E26" i="6" s="1"/>
  <c r="G28" i="1"/>
  <c r="D27" i="1"/>
  <c r="G25" i="2"/>
  <c r="D25" i="2" s="1"/>
  <c r="AS25" i="7"/>
  <c r="AT46" i="3"/>
  <c r="G29" i="1" l="1"/>
  <c r="C28" i="1"/>
  <c r="D28" i="1"/>
  <c r="G28" i="6"/>
  <c r="C27" i="6"/>
  <c r="D27" i="6"/>
  <c r="G26" i="2"/>
  <c r="C25" i="2"/>
  <c r="AS27" i="7"/>
  <c r="C35" i="12"/>
  <c r="C15" i="12"/>
  <c r="C27" i="12" s="1"/>
  <c r="AS16" i="5"/>
  <c r="AS13" i="5"/>
  <c r="AS12" i="5"/>
  <c r="AS11" i="5"/>
  <c r="AS33" i="5"/>
  <c r="AS14" i="5" l="1"/>
  <c r="G29" i="6"/>
  <c r="G30" i="1"/>
  <c r="G31" i="1" s="1"/>
  <c r="D29" i="1"/>
  <c r="G27" i="2"/>
  <c r="D27" i="2" s="1"/>
  <c r="C36" i="12"/>
  <c r="C38" i="12" s="1"/>
  <c r="AS10" i="2"/>
  <c r="AS25" i="2" s="1"/>
  <c r="AG37" i="4"/>
  <c r="AG31" i="4"/>
  <c r="AG16" i="4"/>
  <c r="AG15" i="4"/>
  <c r="AG14" i="4"/>
  <c r="AG10" i="4"/>
  <c r="AG9" i="4"/>
  <c r="AS47" i="3"/>
  <c r="AS19" i="3"/>
  <c r="AS17" i="3"/>
  <c r="AS18" i="5" l="1"/>
  <c r="G32" i="1"/>
  <c r="C31" i="1"/>
  <c r="D31" i="1"/>
  <c r="C29" i="6"/>
  <c r="D29" i="6"/>
  <c r="C27" i="2"/>
  <c r="G28" i="2"/>
  <c r="D28" i="2" s="1"/>
  <c r="AS21" i="3"/>
  <c r="AG12" i="4"/>
  <c r="AG18" i="4"/>
  <c r="AS15" i="3"/>
  <c r="AS46" i="3"/>
  <c r="AO29" i="6"/>
  <c r="AR10" i="7"/>
  <c r="AR9" i="7"/>
  <c r="AS59" i="2"/>
  <c r="AR25" i="7"/>
  <c r="AR11" i="7" s="1"/>
  <c r="AT12" i="7" l="1"/>
  <c r="AT13" i="7" s="1"/>
  <c r="AU12" i="7"/>
  <c r="AU13" i="7" s="1"/>
  <c r="C13" i="7" s="1"/>
  <c r="AS12" i="7"/>
  <c r="AS13" i="7" s="1"/>
  <c r="AS65" i="2"/>
  <c r="AS67" i="2" s="1"/>
  <c r="AU26" i="7" s="1"/>
  <c r="AU27" i="7" s="1"/>
  <c r="C27" i="7"/>
  <c r="C26" i="7"/>
  <c r="C12" i="7"/>
  <c r="G33" i="1"/>
  <c r="C32" i="1"/>
  <c r="D32" i="1"/>
  <c r="G29" i="2"/>
  <c r="D29" i="2" s="1"/>
  <c r="C28" i="2"/>
  <c r="AS23" i="3"/>
  <c r="AR35" i="5"/>
  <c r="AQ11" i="7"/>
  <c r="AM9" i="7"/>
  <c r="AM10" i="7"/>
  <c r="AM12" i="7"/>
  <c r="AR17" i="3"/>
  <c r="C17" i="3" s="1"/>
  <c r="E17" i="3" s="1"/>
  <c r="AR19" i="3"/>
  <c r="C19" i="3" s="1"/>
  <c r="E19" i="3" s="1"/>
  <c r="AR44" i="3"/>
  <c r="C52" i="2"/>
  <c r="AR45" i="2"/>
  <c r="C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E13" i="3" s="1"/>
  <c r="AR38" i="3"/>
  <c r="C38" i="3" s="1"/>
  <c r="AQ38" i="3"/>
  <c r="AQ15" i="3"/>
  <c r="AQ31" i="2"/>
  <c r="AQ33" i="2" s="1"/>
  <c r="AQ52" i="2"/>
  <c r="AQ45" i="2"/>
  <c r="AP45" i="2"/>
  <c r="C17" i="2"/>
  <c r="AQ17" i="2"/>
  <c r="AR10" i="2"/>
  <c r="C10" i="2" s="1"/>
  <c r="AQ10" i="2"/>
  <c r="AF37" i="1"/>
  <c r="AE37" i="1"/>
  <c r="AD37" i="1"/>
  <c r="AF13" i="1"/>
  <c r="C13" i="1" s="1"/>
  <c r="AF9" i="1"/>
  <c r="C9" i="1" s="1"/>
  <c r="AE13" i="1"/>
  <c r="AE21" i="1" s="1"/>
  <c r="AD13" i="1"/>
  <c r="C51" i="6"/>
  <c r="E51" i="6" s="1"/>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N24" i="7"/>
  <c r="AN10" i="7"/>
  <c r="AN23" i="7"/>
  <c r="AN9" i="7"/>
  <c r="AC37" i="4"/>
  <c r="AC31" i="4"/>
  <c r="AC18" i="4"/>
  <c r="AC12" i="4"/>
  <c r="AO47" i="3"/>
  <c r="AO21" i="3"/>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Z29" i="1"/>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17" i="6" s="1"/>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24" i="7"/>
  <c r="AI10" i="7" s="1"/>
  <c r="AI23" i="7"/>
  <c r="AI9" i="7" s="1"/>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28" i="5" l="1"/>
  <c r="AK18" i="5"/>
  <c r="AE17" i="6"/>
  <c r="Y21" i="1"/>
  <c r="AR47" i="3"/>
  <c r="C47" i="3" s="1"/>
  <c r="E47" i="3" s="1"/>
  <c r="C44" i="3"/>
  <c r="E44" i="3" s="1"/>
  <c r="AQ27" i="7"/>
  <c r="B27" i="7" s="1"/>
  <c r="B25" i="7"/>
  <c r="AQ13" i="7"/>
  <c r="B13" i="7" s="1"/>
  <c r="B11" i="7"/>
  <c r="V17" i="6"/>
  <c r="AC17" i="6"/>
  <c r="G34" i="1"/>
  <c r="C33" i="1"/>
  <c r="D33" i="1"/>
  <c r="E33" i="1" s="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E15" i="3" s="1"/>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C21" i="3" s="1"/>
  <c r="E21" i="3" s="1"/>
  <c r="AC17" i="2"/>
  <c r="AC25" i="2" s="1"/>
  <c r="AC31" i="2" s="1"/>
  <c r="AC33" i="2" s="1"/>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3" i="2"/>
  <c r="E18" i="2"/>
  <c r="E19" i="2"/>
  <c r="E20" i="2"/>
  <c r="E21" i="2"/>
  <c r="E22" i="2"/>
  <c r="E27" i="2"/>
  <c r="E28" i="4"/>
  <c r="E29" i="4"/>
  <c r="E31" i="4"/>
  <c r="E48" i="6"/>
  <c r="E41" i="6"/>
  <c r="AN32" i="5"/>
  <c r="AN13" i="5" s="1"/>
  <c r="AI14" i="5"/>
  <c r="AB14" i="5"/>
  <c r="AR16" i="5"/>
  <c r="D23" i="7"/>
  <c r="E62" i="2"/>
  <c r="D24" i="7"/>
  <c r="AI25" i="7"/>
  <c r="AI27" i="7" s="1"/>
  <c r="AM11" i="7"/>
  <c r="AM13" i="7" s="1"/>
  <c r="AG11" i="7"/>
  <c r="AN11" i="7"/>
  <c r="AN25" i="7"/>
  <c r="AI11" i="7"/>
  <c r="AI13" i="7" s="1"/>
  <c r="AF11" i="7"/>
  <c r="E46" i="2"/>
  <c r="E55" i="2"/>
  <c r="E38" i="3"/>
  <c r="AR12" i="5"/>
  <c r="AH14" i="5"/>
  <c r="AR33" i="5"/>
  <c r="AR37" i="5" s="1"/>
  <c r="AS28" i="5" s="1"/>
  <c r="AK14" i="5"/>
  <c r="AJ14" i="5"/>
  <c r="AJ18" i="5" s="1"/>
  <c r="AK9" i="5" s="1"/>
  <c r="AG14" i="5"/>
  <c r="AE14" i="5"/>
  <c r="AE18" i="5" s="1"/>
  <c r="AC14" i="5"/>
  <c r="AM14" i="5"/>
  <c r="Y37" i="5"/>
  <c r="Z28" i="5" s="1"/>
  <c r="Z37" i="5" s="1"/>
  <c r="AA28" i="5" s="1"/>
  <c r="AA37" i="5" s="1"/>
  <c r="AB28" i="5" s="1"/>
  <c r="AB37" i="5" s="1"/>
  <c r="AN35" i="5"/>
  <c r="AL37" i="5"/>
  <c r="AM28" i="5" s="1"/>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E11" i="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Y29" i="1"/>
  <c r="Y27" i="1"/>
  <c r="Y39" i="1" s="1"/>
  <c r="Y43" i="1" s="1"/>
  <c r="E42" i="6"/>
  <c r="E46" i="6"/>
  <c r="A10" i="6"/>
  <c r="A11" i="6" s="1"/>
  <c r="AR14" i="5" l="1"/>
  <c r="AS37" i="5"/>
  <c r="AR18" i="5"/>
  <c r="D25" i="7"/>
  <c r="G35" i="1"/>
  <c r="C34" i="1"/>
  <c r="D34" i="1"/>
  <c r="AR23" i="3"/>
  <c r="C23" i="3" s="1"/>
  <c r="E23" i="3" s="1"/>
  <c r="C46" i="3"/>
  <c r="E46" i="3" s="1"/>
  <c r="C59" i="2"/>
  <c r="E59" i="2" s="1"/>
  <c r="AF29" i="1"/>
  <c r="C29" i="1" s="1"/>
  <c r="E29" i="1" s="1"/>
  <c r="C21" i="1"/>
  <c r="E21" i="1" s="1"/>
  <c r="AL18" i="5"/>
  <c r="AM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T28" i="5"/>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M18" i="5"/>
  <c r="AN9" i="5" s="1"/>
  <c r="E9" i="5" s="1"/>
  <c r="AN11" i="5"/>
  <c r="AN33" i="5"/>
  <c r="AM37" i="5"/>
  <c r="AN28" i="5" s="1"/>
  <c r="AN12" i="5"/>
  <c r="E12" i="5" s="1"/>
  <c r="E31" i="5"/>
  <c r="E17" i="2"/>
  <c r="AD12" i="7"/>
  <c r="AD13" i="7" s="1"/>
  <c r="AN67" i="2"/>
  <c r="AC12" i="7"/>
  <c r="AC13" i="7" s="1"/>
  <c r="M29" i="1"/>
  <c r="W27" i="1"/>
  <c r="W39" i="1" s="1"/>
  <c r="W43" i="1" s="1"/>
  <c r="T27" i="1"/>
  <c r="T39" i="1" s="1"/>
  <c r="T43" i="1" s="1"/>
  <c r="X27" i="1"/>
  <c r="X39" i="1" s="1"/>
  <c r="X43" i="1" s="1"/>
  <c r="R29" i="1"/>
  <c r="N29" i="1"/>
  <c r="V27" i="1"/>
  <c r="V39" i="1" s="1"/>
  <c r="V43" i="1" s="1"/>
  <c r="L27" i="1"/>
  <c r="L39" i="1" s="1"/>
  <c r="L43" i="1" s="1"/>
  <c r="I29" i="1"/>
  <c r="AB43" i="1"/>
  <c r="A12" i="6"/>
  <c r="AT37" i="5" l="1"/>
  <c r="E34" i="1"/>
  <c r="AF39" i="1"/>
  <c r="C27" i="1"/>
  <c r="C65" i="2"/>
  <c r="AF12" i="7"/>
  <c r="AF13" i="7" s="1"/>
  <c r="AH12" i="7"/>
  <c r="AH13" i="7" s="1"/>
  <c r="G36" i="1"/>
  <c r="G37" i="1" s="1"/>
  <c r="C35" i="1"/>
  <c r="D35" i="1"/>
  <c r="AE12" i="7"/>
  <c r="AE13" i="7" s="1"/>
  <c r="G32" i="2"/>
  <c r="C31" i="2"/>
  <c r="E31" i="2" s="1"/>
  <c r="AK27" i="7"/>
  <c r="D12" i="7"/>
  <c r="E27" i="1"/>
  <c r="E28" i="5"/>
  <c r="AN37" i="5"/>
  <c r="AN14" i="5"/>
  <c r="AN26" i="7"/>
  <c r="AO26" i="7"/>
  <c r="AO27" i="7" s="1"/>
  <c r="E25" i="2"/>
  <c r="AF43" i="1"/>
  <c r="E11" i="6"/>
  <c r="A13" i="6"/>
  <c r="G38" i="1" l="1"/>
  <c r="G39" i="1" s="1"/>
  <c r="D37" i="1"/>
  <c r="C37" i="1"/>
  <c r="C67" i="2"/>
  <c r="E67" i="2" s="1"/>
  <c r="AR26" i="7"/>
  <c r="G33" i="2"/>
  <c r="AN27" i="7"/>
  <c r="D27" i="7" s="1"/>
  <c r="D26" i="7"/>
  <c r="E14" i="5"/>
  <c r="AN18" i="5"/>
  <c r="E18" i="5" s="1"/>
  <c r="A14" i="6"/>
  <c r="E12" i="6"/>
  <c r="AR12" i="7" l="1"/>
  <c r="AR27" i="7"/>
  <c r="C33" i="2"/>
  <c r="D33" i="2"/>
  <c r="E37" i="1"/>
  <c r="G40" i="1"/>
  <c r="G41" i="1" s="1"/>
  <c r="D39" i="1"/>
  <c r="C39" i="1"/>
  <c r="E13" i="6"/>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20" i="6" l="1"/>
  <c r="A22" i="6"/>
  <c r="E21" i="6" l="1"/>
  <c r="A23" i="6"/>
  <c r="A24" i="6" l="1"/>
  <c r="E22" i="6"/>
  <c r="A25" i="6" l="1"/>
  <c r="E23" i="6"/>
  <c r="A26" i="6" l="1"/>
  <c r="E24" i="6"/>
  <c r="E25" i="6" l="1"/>
  <c r="A27" i="6"/>
  <c r="A28" i="6" l="1"/>
  <c r="A29" i="6" l="1"/>
  <c r="E29" i="6" l="1"/>
  <c r="D10" i="7" l="1"/>
</calcChain>
</file>

<file path=xl/sharedStrings.xml><?xml version="1.0" encoding="utf-8"?>
<sst xmlns="http://schemas.openxmlformats.org/spreadsheetml/2006/main" count="990" uniqueCount="193">
  <si>
    <t>CHILE</t>
  </si>
  <si>
    <t>Power Plants</t>
  </si>
  <si>
    <t>MW</t>
  </si>
  <si>
    <t>Technology</t>
  </si>
  <si>
    <t>Region</t>
  </si>
  <si>
    <t>Aconcagua Complex</t>
  </si>
  <si>
    <t>Hidro</t>
  </si>
  <si>
    <t>Valparaíso Region</t>
  </si>
  <si>
    <t>Carena</t>
  </si>
  <si>
    <t>El Maule Complex</t>
  </si>
  <si>
    <t>Maule Region</t>
  </si>
  <si>
    <t>Laja</t>
  </si>
  <si>
    <t>Angostura</t>
  </si>
  <si>
    <t>Canutillar</t>
  </si>
  <si>
    <t>Los Lagos Region</t>
  </si>
  <si>
    <t>Total Hidro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</si>
  <si>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</si>
  <si>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</si>
  <si>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</si>
  <si>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</si>
  <si>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</si>
  <si>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</si>
  <si>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</si>
  <si>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</si>
  <si>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</si>
  <si>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</si>
  <si>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</si>
  <si>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</si>
  <si>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</si>
  <si>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</si>
  <si>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</si>
  <si>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</si>
  <si>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</si>
  <si>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</si>
  <si>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</si>
  <si>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</si>
  <si>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Total Chile Installed Capacity</t>
  </si>
  <si>
    <t>PERÚ</t>
  </si>
  <si>
    <t>Fenix</t>
  </si>
  <si>
    <t>Central Coast Region</t>
  </si>
  <si>
    <t>Total Perú Installed Capacity</t>
  </si>
  <si>
    <t>Total Colbún Installed Capacity</t>
  </si>
  <si>
    <t>PHYSICAL SALES</t>
  </si>
  <si>
    <t>4Q22</t>
  </si>
  <si>
    <t>4Q23</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</si>
  <si>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</si>
  <si>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</si>
  <si>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</si>
  <si>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</si>
  <si>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</si>
  <si>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</si>
  <si>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</si>
  <si>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</si>
  <si>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</si>
  <si>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</si>
  <si>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</si>
  <si>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</si>
  <si>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</si>
  <si>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</si>
  <si>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</si>
  <si>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</si>
  <si>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</si>
  <si>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</si>
  <si>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</si>
  <si>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</si>
  <si>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</si>
  <si>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</si>
  <si>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</si>
  <si>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</si>
  <si>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</si>
  <si>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</si>
  <si>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</si>
  <si>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</si>
  <si>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</si>
  <si>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</si>
  <si>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</si>
  <si>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</si>
  <si>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</si>
  <si>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</si>
  <si>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</si>
  <si>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</si>
  <si>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</si>
  <si>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1Q23</t>
  </si>
  <si>
    <t>2Q23</t>
  </si>
  <si>
    <t>3Q23</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</si>
  <si>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</si>
  <si>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</si>
  <si>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</si>
  <si>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</si>
  <si>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</si>
  <si>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</si>
  <si>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</si>
  <si>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</si>
  <si>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</si>
  <si>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</si>
  <si>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</si>
  <si>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</si>
  <si>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Spot Market Purchases</t>
  </si>
  <si>
    <t>Sales - Purchases to the Spot Market</t>
  </si>
  <si>
    <t>Customers Under Contract</t>
  </si>
  <si>
    <t>Thermoelectric - Gas</t>
  </si>
  <si>
    <t>-</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</si>
  <si>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</si>
  <si>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</si>
  <si>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</si>
  <si>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</si>
  <si>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</si>
  <si>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</si>
  <si>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</si>
  <si>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</si>
  <si>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</si>
  <si>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</si>
  <si>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</si>
  <si>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</si>
  <si>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</si>
  <si>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</si>
  <si>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</si>
  <si>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</si>
  <si>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</si>
  <si>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</si>
  <si>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</si>
  <si>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</si>
  <si>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</si>
  <si>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</si>
  <si>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</si>
  <si>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</si>
  <si>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</si>
  <si>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</si>
  <si>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</si>
  <si>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</si>
  <si>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</si>
  <si>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</si>
  <si>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</si>
  <si>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</si>
  <si>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</si>
  <si>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</si>
  <si>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 xml:space="preserve">CHILE </t>
  </si>
  <si>
    <t>OPERATING INCOME</t>
  </si>
  <si>
    <t>VAR %</t>
  </si>
  <si>
    <t>Regulated Customers Sales</t>
  </si>
  <si>
    <t>Nonregulated Customers Sales</t>
  </si>
  <si>
    <t>Energy and Capacity Sales</t>
  </si>
  <si>
    <t>RAW MATERIALS AND CONSUMABLES USED</t>
  </si>
  <si>
    <t>Other Operating Expenses</t>
  </si>
  <si>
    <t>GROSS PROFIT</t>
  </si>
  <si>
    <t>Other Expenses, by nature</t>
  </si>
  <si>
    <t>OPERATING INCOME (LOSS)</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</si>
  <si>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</si>
  <si>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</si>
  <si>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</si>
  <si>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</si>
  <si>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</si>
  <si>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</si>
  <si>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</si>
  <si>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</si>
  <si>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</si>
  <si>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</si>
  <si>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</si>
  <si>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</si>
  <si>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</si>
  <si>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</si>
  <si>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</si>
  <si>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</si>
  <si>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</si>
  <si>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</si>
  <si>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</si>
  <si>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</si>
  <si>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</si>
  <si>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</si>
  <si>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</si>
  <si>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</si>
  <si>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</si>
  <si>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</si>
  <si>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xml:space="preserve">Fenix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</si>
  <si>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</si>
  <si>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</si>
  <si>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</si>
  <si>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</si>
  <si>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</si>
  <si>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</si>
  <si>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</si>
  <si>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</si>
  <si>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</si>
  <si>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</si>
  <si>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</si>
  <si>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</si>
  <si>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</si>
  <si>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</si>
  <si>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 xml:space="preserve">(*) Corresponds to the energy purchased from the Punta Palmeras wind farm </t>
  </si>
  <si>
    <t>(**) Corresponds to the energy purchased from the Imelsa solar pv plant</t>
  </si>
  <si>
    <t xml:space="preserve">    Solar(**)</t>
  </si>
  <si>
    <t xml:space="preserve">    Wind (*)</t>
  </si>
  <si>
    <t>REVS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</si>
</sst>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2" formatCode="_ &quot;$&quot;* #,##0_ ;_ &quot;$&quot;* \-#,##0_ ;_ &quot;$&quot;* &quot;-&quot;_ ;_ @_ "/>
    <numFmt numFmtId="41" formatCode="_ * #,##0_ ;_ * \-#,##0_ ;_ * &quot;-&quot;_ ;_ @_ "/>
    <numFmt numFmtId="43" formatCode="_ * #,##0.00_ ;_ * \-#,##0.00_ ;_ * &quot;-&quot;??_ ;_ @_ "/>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0_);_(* \(#,##0.0\);_(* &quot;-&quot;??_);_(@_)"/>
    <numFmt numFmtId="170" formatCode="_ * #,##0.0_ ;_ * \-#,##0.0_ ;_ * &quot;-&quot;_ ;_ @_ "/>
    <numFmt numFmtId="171" formatCode="_(* #,##0_);_(* \(#,##0\);_(* &quot;-&quot;??_);_(@_)"/>
    <numFmt numFmtId="172" formatCode="0%_);\(0%\)"/>
    <numFmt numFmtId="173" formatCode="0.000"/>
    <numFmt numFmtId="174" formatCode="_ * #,##0.0_ ;_ * \-#,##0.0_ ;_ * &quot;-&quot;?_ ;_ @_ "/>
    <numFmt numFmtId="175" formatCode="\-"/>
    <numFmt numFmtId="176" formatCode="_-[$€-2]\ * #,##0.00_-;\-[$€-2]\ * #,##0.00_-;_-[$€-2]\ * &quot;-&quot;??_-"/>
    <numFmt numFmtId="177" formatCode="#,##0.0"/>
    <numFmt numFmtId="178" formatCode="_-* #,##0.0_-;\-* #,##0.0_-;_-* &quot;-&quot;?_-;_-@_-"/>
    <numFmt numFmtId="179" formatCode="_-* #,##0_-;\-* #,##0_-;_-* &quot;-&quot;??_-;_-@_-"/>
    <numFmt numFmtId="180" formatCode="&quot;$&quot;\ #,##0.00;[Red]\-&quot;$&quot;\ #,##0.00"/>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00_);_(* \(#,##0.000\);_(* &quot;-&quot;??_);_(@_)"/>
    <numFmt numFmtId="243" formatCode="_ * #,##0.00_ ;_ * \-#,##0.00_ ;_ * &quot;-&quot;_ ;_ @_ "/>
  </numFmts>
  <fonts count="86">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1" tint="0.34998626667073579"/>
      <name val="Trebuchet MS"/>
    </font>
    <font>
      <b/>
      <sz val="10"/>
      <color theme="0"/>
      <name val="Trebuchet MS"/>
    </font>
  </fonts>
  <fills count="6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7" fontId="8" fillId="0" borderId="0" applyFont="0" applyFill="0" applyBorder="0" applyAlignment="0" applyProtection="0"/>
    <xf numFmtId="167" fontId="1" fillId="0" borderId="0" applyFont="0" applyFill="0" applyBorder="0" applyAlignment="0" applyProtection="0"/>
    <xf numFmtId="0" fontId="8" fillId="0" borderId="0"/>
    <xf numFmtId="167" fontId="8" fillId="0" borderId="0" applyFont="0" applyFill="0" applyBorder="0" applyAlignment="0" applyProtection="0"/>
    <xf numFmtId="43" fontId="1" fillId="0" borderId="0" applyFont="0" applyFill="0" applyBorder="0" applyAlignment="0" applyProtection="0"/>
    <xf numFmtId="0" fontId="8" fillId="0" borderId="0"/>
    <xf numFmtId="176"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7"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9" fontId="8" fillId="0" borderId="0" applyFont="0" applyFill="0" applyBorder="0" applyAlignment="0" applyProtection="0"/>
    <xf numFmtId="43" fontId="13" fillId="0" borderId="0" applyFont="0" applyFill="0" applyBorder="0" applyAlignment="0" applyProtection="0"/>
    <xf numFmtId="167" fontId="8" fillId="0" borderId="0" applyFont="0" applyFill="0" applyBorder="0" applyAlignment="0" applyProtection="0"/>
    <xf numFmtId="43" fontId="13"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43"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1"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2"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7"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1" fillId="58" borderId="15" applyNumberFormat="0" applyAlignment="0" applyProtection="0"/>
    <xf numFmtId="167"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81" fillId="0" borderId="25" applyNumberFormat="0" applyFill="0" applyAlignment="0" applyProtection="0"/>
    <xf numFmtId="167"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5"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4" fontId="42" fillId="61" borderId="27">
      <alignment horizontal="center" vertical="center" wrapText="1"/>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14">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8" fontId="2" fillId="2" borderId="0" xfId="0" applyNumberFormat="1" applyFont="1" applyFill="1"/>
    <xf numFmtId="169" fontId="2" fillId="2" borderId="0" xfId="0" applyNumberFormat="1" applyFont="1" applyFill="1" applyAlignment="1">
      <alignment horizontal="right" vertical="center"/>
    </xf>
    <xf numFmtId="169" fontId="4" fillId="5" borderId="0" xfId="0" applyNumberFormat="1" applyFont="1" applyFill="1"/>
    <xf numFmtId="168" fontId="4" fillId="4" borderId="0" xfId="0" applyNumberFormat="1" applyFont="1" applyFill="1"/>
    <xf numFmtId="0" fontId="5" fillId="6" borderId="0" xfId="0" applyFont="1" applyFill="1"/>
    <xf numFmtId="0" fontId="2" fillId="6" borderId="0" xfId="0" applyFont="1" applyFill="1"/>
    <xf numFmtId="170" fontId="2" fillId="2" borderId="0" xfId="1" applyNumberFormat="1" applyFont="1" applyFill="1"/>
    <xf numFmtId="170" fontId="2" fillId="3" borderId="0" xfId="1" applyNumberFormat="1" applyFont="1" applyFill="1"/>
    <xf numFmtId="170" fontId="4" fillId="5" borderId="0" xfId="1" applyNumberFormat="1" applyFont="1" applyFill="1"/>
    <xf numFmtId="169" fontId="4" fillId="4" borderId="0" xfId="0" applyNumberFormat="1" applyFont="1" applyFill="1"/>
    <xf numFmtId="168" fontId="2" fillId="2" borderId="0" xfId="1" applyNumberFormat="1" applyFont="1" applyFill="1" applyBorder="1" applyAlignment="1">
      <alignment horizontal="right" vertical="center"/>
    </xf>
    <xf numFmtId="168" fontId="4" fillId="5" borderId="0" xfId="1" applyNumberFormat="1" applyFont="1" applyFill="1"/>
    <xf numFmtId="0" fontId="6" fillId="7" borderId="0" xfId="0" applyFont="1" applyFill="1"/>
    <xf numFmtId="169" fontId="6" fillId="7" borderId="0" xfId="0" applyNumberFormat="1" applyFont="1" applyFill="1" applyAlignment="1">
      <alignment horizontal="right" vertical="center"/>
    </xf>
    <xf numFmtId="168" fontId="2" fillId="3" borderId="0" xfId="1" applyNumberFormat="1" applyFont="1" applyFill="1"/>
    <xf numFmtId="168" fontId="6" fillId="7" borderId="0" xfId="1" applyNumberFormat="1" applyFont="1" applyFill="1" applyBorder="1" applyAlignment="1">
      <alignment horizontal="right" vertical="center"/>
    </xf>
    <xf numFmtId="171" fontId="4" fillId="5" borderId="0" xfId="0" applyNumberFormat="1" applyFont="1" applyFill="1"/>
    <xf numFmtId="171" fontId="2" fillId="2" borderId="0" xfId="0" applyNumberFormat="1" applyFont="1" applyFill="1" applyAlignment="1">
      <alignment horizontal="right" vertical="center"/>
    </xf>
    <xf numFmtId="171" fontId="2" fillId="3" borderId="0" xfId="0" applyNumberFormat="1" applyFont="1" applyFill="1"/>
    <xf numFmtId="171" fontId="6" fillId="7" borderId="0" xfId="0" applyNumberFormat="1" applyFont="1" applyFill="1" applyAlignment="1">
      <alignment horizontal="right" vertical="center"/>
    </xf>
    <xf numFmtId="0" fontId="6" fillId="2" borderId="0" xfId="0" applyFont="1" applyFill="1"/>
    <xf numFmtId="171"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8" fontId="4" fillId="5" borderId="0" xfId="0" applyNumberFormat="1" applyFont="1" applyFill="1"/>
    <xf numFmtId="168" fontId="2" fillId="3" borderId="0" xfId="0" applyNumberFormat="1" applyFont="1" applyFill="1"/>
    <xf numFmtId="168" fontId="2" fillId="2" borderId="0" xfId="0" applyNumberFormat="1" applyFont="1" applyFill="1" applyAlignment="1">
      <alignment horizontal="right" vertical="center"/>
    </xf>
    <xf numFmtId="168" fontId="6" fillId="7" borderId="0" xfId="0" applyNumberFormat="1" applyFont="1" applyFill="1" applyAlignment="1">
      <alignment horizontal="right" vertical="center"/>
    </xf>
    <xf numFmtId="172" fontId="2" fillId="2" borderId="0" xfId="2" applyNumberFormat="1" applyFont="1" applyFill="1"/>
    <xf numFmtId="172" fontId="2" fillId="2" borderId="0" xfId="2" applyNumberFormat="1" applyFont="1" applyFill="1" applyBorder="1" applyAlignment="1">
      <alignment horizontal="right" vertical="center"/>
    </xf>
    <xf numFmtId="172" fontId="4" fillId="5" borderId="0" xfId="2" applyNumberFormat="1" applyFont="1" applyFill="1"/>
    <xf numFmtId="172" fontId="2" fillId="3" borderId="0" xfId="0" applyNumberFormat="1" applyFont="1" applyFill="1"/>
    <xf numFmtId="172" fontId="2" fillId="3" borderId="0" xfId="2" applyNumberFormat="1" applyFont="1" applyFill="1"/>
    <xf numFmtId="0" fontId="4" fillId="3" borderId="0" xfId="0" applyFont="1" applyFill="1" applyAlignment="1">
      <alignment horizontal="left"/>
    </xf>
    <xf numFmtId="169" fontId="4" fillId="3" borderId="0" xfId="0" applyNumberFormat="1" applyFont="1" applyFill="1"/>
    <xf numFmtId="172" fontId="4" fillId="3" borderId="0" xfId="2" applyNumberFormat="1" applyFont="1" applyFill="1"/>
    <xf numFmtId="169" fontId="2" fillId="2" borderId="0" xfId="0" applyNumberFormat="1" applyFont="1" applyFill="1"/>
    <xf numFmtId="168" fontId="4" fillId="3" borderId="0" xfId="0" applyNumberFormat="1" applyFont="1" applyFill="1"/>
    <xf numFmtId="172"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2" fontId="2" fillId="2" borderId="0" xfId="2" applyNumberFormat="1" applyFont="1" applyFill="1" applyAlignment="1">
      <alignment horizontal="right"/>
    </xf>
    <xf numFmtId="172" fontId="4" fillId="4" borderId="0" xfId="2" applyNumberFormat="1" applyFont="1" applyFill="1" applyAlignment="1">
      <alignment horizontal="right"/>
    </xf>
    <xf numFmtId="173" fontId="2" fillId="3" borderId="0" xfId="0" applyNumberFormat="1" applyFont="1" applyFill="1"/>
    <xf numFmtId="169" fontId="2" fillId="3" borderId="0" xfId="0" applyNumberFormat="1" applyFont="1" applyFill="1"/>
    <xf numFmtId="174" fontId="2" fillId="3" borderId="0" xfId="0" applyNumberFormat="1" applyFont="1" applyFill="1"/>
    <xf numFmtId="9" fontId="2" fillId="3" borderId="0" xfId="2" applyFont="1" applyFill="1"/>
    <xf numFmtId="172"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71" fontId="2" fillId="2" borderId="0" xfId="8" applyNumberFormat="1" applyFont="1" applyFill="1" applyBorder="1" applyAlignment="1">
      <alignment horizontal="center" vertical="center"/>
    </xf>
    <xf numFmtId="169" fontId="2" fillId="3" borderId="0" xfId="8" applyNumberFormat="1" applyFont="1" applyFill="1"/>
    <xf numFmtId="177" fontId="2" fillId="2" borderId="0" xfId="0" applyNumberFormat="1" applyFont="1" applyFill="1"/>
    <xf numFmtId="169" fontId="2" fillId="2" borderId="0" xfId="0" applyNumberFormat="1" applyFont="1" applyFill="1" applyAlignment="1">
      <alignment horizontal="right"/>
    </xf>
    <xf numFmtId="172" fontId="2" fillId="3" borderId="0" xfId="0" applyNumberFormat="1" applyFont="1" applyFill="1" applyAlignment="1">
      <alignment horizontal="center"/>
    </xf>
    <xf numFmtId="178" fontId="2" fillId="3" borderId="0" xfId="0" applyNumberFormat="1" applyFont="1" applyFill="1"/>
    <xf numFmtId="172" fontId="4" fillId="5" borderId="0" xfId="2" applyNumberFormat="1" applyFont="1" applyFill="1" applyAlignment="1">
      <alignment horizontal="right"/>
    </xf>
    <xf numFmtId="179" fontId="11" fillId="2" borderId="0" xfId="7" applyNumberFormat="1" applyFont="1" applyFill="1"/>
    <xf numFmtId="41" fontId="11" fillId="2" borderId="0" xfId="1" applyFont="1" applyFill="1"/>
    <xf numFmtId="41" fontId="2" fillId="3" borderId="0" xfId="1" applyFont="1" applyFill="1"/>
    <xf numFmtId="172"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69" fontId="4" fillId="5" borderId="0" xfId="0" applyNumberFormat="1" applyFont="1" applyFill="1" applyAlignment="1">
      <alignment vertical="center"/>
    </xf>
    <xf numFmtId="177" fontId="2" fillId="2" borderId="0" xfId="0" applyNumberFormat="1" applyFont="1" applyFill="1" applyAlignment="1">
      <alignment vertical="center"/>
    </xf>
    <xf numFmtId="0" fontId="2" fillId="3" borderId="0" xfId="0" applyFont="1" applyFill="1" applyAlignment="1">
      <alignment vertical="center"/>
    </xf>
    <xf numFmtId="169" fontId="2" fillId="2" borderId="0" xfId="0" applyNumberFormat="1" applyFont="1" applyFill="1" applyAlignment="1">
      <alignment vertical="center"/>
    </xf>
    <xf numFmtId="0" fontId="2" fillId="3" borderId="0" xfId="0" applyFont="1" applyFill="1" applyAlignment="1">
      <alignment horizontal="left"/>
    </xf>
    <xf numFmtId="168" fontId="2" fillId="2" borderId="0" xfId="0" applyNumberFormat="1" applyFont="1" applyFill="1" applyAlignment="1">
      <alignment vertical="center"/>
    </xf>
    <xf numFmtId="170"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1" fontId="6" fillId="7" borderId="0" xfId="0" applyNumberFormat="1" applyFont="1" applyFill="1" applyAlignment="1">
      <alignment horizontal="left" vertical="center"/>
    </xf>
    <xf numFmtId="41" fontId="4" fillId="5" borderId="0" xfId="0" applyNumberFormat="1" applyFont="1" applyFill="1"/>
    <xf numFmtId="0" fontId="4" fillId="4" borderId="0" xfId="0" applyFont="1" applyFill="1" applyAlignment="1">
      <alignment horizontal="left" vertical="center"/>
    </xf>
    <xf numFmtId="41" fontId="4" fillId="4" borderId="0" xfId="0" applyNumberFormat="1" applyFont="1" applyFill="1" applyAlignment="1">
      <alignment horizontal="right" vertical="center"/>
    </xf>
    <xf numFmtId="170" fontId="2" fillId="2" borderId="0" xfId="1" applyNumberFormat="1" applyFont="1" applyFill="1" applyAlignment="1">
      <alignment horizontal="left"/>
    </xf>
    <xf numFmtId="175"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172" fontId="4" fillId="5" borderId="0" xfId="2" applyNumberFormat="1" applyFont="1" applyFill="1" applyAlignment="1">
      <alignment horizontal="right" vertical="center"/>
    </xf>
    <xf numFmtId="169" fontId="4" fillId="5" borderId="0" xfId="0" applyNumberFormat="1" applyFont="1" applyFill="1" applyAlignment="1">
      <alignment horizontal="right"/>
    </xf>
    <xf numFmtId="170" fontId="2" fillId="2" borderId="0" xfId="1" applyNumberFormat="1" applyFont="1" applyFill="1" applyBorder="1"/>
    <xf numFmtId="9" fontId="2" fillId="3" borderId="0" xfId="0" applyNumberFormat="1" applyFont="1" applyFill="1"/>
    <xf numFmtId="171" fontId="2" fillId="2" borderId="0" xfId="8" applyNumberFormat="1" applyFont="1" applyFill="1" applyBorder="1" applyAlignment="1">
      <alignment horizontal="right" vertical="center"/>
    </xf>
    <xf numFmtId="168" fontId="2" fillId="3" borderId="0" xfId="0" applyNumberFormat="1" applyFont="1" applyFill="1" applyAlignment="1">
      <alignment horizontal="right"/>
    </xf>
    <xf numFmtId="169" fontId="4" fillId="3" borderId="0" xfId="0" applyNumberFormat="1" applyFont="1" applyFill="1" applyAlignment="1">
      <alignment horizontal="right"/>
    </xf>
    <xf numFmtId="0" fontId="10" fillId="3" borderId="0" xfId="0" applyFont="1" applyFill="1" applyAlignment="1">
      <alignment horizontal="center" wrapText="1"/>
    </xf>
    <xf numFmtId="174" fontId="84" fillId="3" borderId="0" xfId="0" applyNumberFormat="1" applyFont="1" applyFill="1"/>
    <xf numFmtId="169" fontId="85" fillId="5" borderId="0" xfId="0" applyNumberFormat="1" applyFont="1" applyFill="1"/>
    <xf numFmtId="242" fontId="2" fillId="3" borderId="0" xfId="0" applyNumberFormat="1" applyFont="1" applyFill="1"/>
    <xf numFmtId="172" fontId="6" fillId="2" borderId="0" xfId="2" applyNumberFormat="1" applyFont="1" applyFill="1" applyAlignment="1">
      <alignment horizontal="right"/>
    </xf>
    <xf numFmtId="171" fontId="2" fillId="3" borderId="0" xfId="8" applyNumberFormat="1" applyFont="1" applyFill="1" applyAlignment="1">
      <alignment horizontal="right" vertical="center"/>
    </xf>
    <xf numFmtId="243" fontId="2" fillId="3" borderId="0" xfId="0" applyNumberFormat="1" applyFont="1" applyFill="1"/>
    <xf numFmtId="171" fontId="6" fillId="0" borderId="0" xfId="0" applyNumberFormat="1" applyFont="1" applyAlignment="1">
      <alignment horizontal="right" vertical="center"/>
    </xf>
    <xf numFmtId="41"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1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top"/>
    </xf>
  </cellXfs>
  <cellStyles count="5184">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23</xdr:col>
      <xdr:colOff>559750</xdr:colOff>
      <xdr:row>71</xdr:row>
      <xdr:rowOff>17144</xdr:rowOff>
    </xdr:to>
    <xdr:pic>
      <xdr:nvPicPr>
        <xdr:cNvPr id="3" name="Imagen 2">
          <a:extLst>
            <a:ext uri="{FF2B5EF4-FFF2-40B4-BE49-F238E27FC236}">
              <a16:creationId xmlns:a16="http://schemas.microsoft.com/office/drawing/2014/main" id="{9609B044-45FE-C7F1-73F5-7F052B2058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7620"/>
          <a:ext cx="18771550" cy="12994004"/>
        </a:xfrm>
        <a:prstGeom prst="rect">
          <a:avLst/>
        </a:prstGeom>
        <a:gradFill flip="none" rotWithShape="1">
          <a:gsLst>
            <a:gs pos="80000">
              <a:schemeClr val="bg1">
                <a:lumMod val="98000"/>
                <a:lumOff val="2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path path="circle">
            <a:fillToRect l="100000" t="100000"/>
          </a:path>
          <a:tileRect r="-100000" b="-100000"/>
        </a:gradFill>
        <a:ln>
          <a:noFill/>
        </a:ln>
        <a:effectLst>
          <a:outerShdw blurRad="50800" dist="50800" dir="5400000" algn="ctr" rotWithShape="0">
            <a:srgbClr val="000000"/>
          </a:outerShdw>
        </a:effectLst>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a:t>
          </a:r>
          <a:r>
            <a:rPr lang="es-CL" sz="1100" baseline="0">
              <a:solidFill>
                <a:schemeClr val="tx1">
                  <a:lumMod val="65000"/>
                  <a:lumOff val="35000"/>
                </a:schemeClr>
              </a:solidFill>
              <a:latin typeface="Trebuchet MS" panose="020B0603020202020204" pitchFamily="34" charset="0"/>
            </a:rPr>
            <a:t> Sales &amp; Gx</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a:t>
          </a:r>
          <a:r>
            <a:rPr lang="es-CL" sz="1100" baseline="0">
              <a:solidFill>
                <a:schemeClr val="tx1">
                  <a:lumMod val="65000"/>
                  <a:lumOff val="35000"/>
                </a:schemeClr>
              </a:solidFill>
              <a:latin typeface="Trebuchet MS" panose="020B0603020202020204" pitchFamily="34" charset="0"/>
            </a:rPr>
            <a:t> Statement</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Amortization</a:t>
          </a:r>
          <a:r>
            <a:rPr lang="es-CL" sz="1100" baseline="0">
              <a:solidFill>
                <a:schemeClr val="tx1">
                  <a:lumMod val="65000"/>
                  <a:lumOff val="35000"/>
                </a:schemeClr>
              </a:solidFill>
              <a:latin typeface="Trebuchet MS" panose="020B0603020202020204" pitchFamily="34" charset="0"/>
            </a:rPr>
            <a:t> Profile</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a:t>
          </a:r>
          <a:r>
            <a:rPr lang="es-CL" sz="1100" baseline="0">
              <a:solidFill>
                <a:schemeClr val="tx1">
                  <a:lumMod val="65000"/>
                  <a:lumOff val="35000"/>
                </a:schemeClr>
              </a:solidFill>
              <a:latin typeface="Trebuchet MS" panose="020B0603020202020204" pitchFamily="34" charset="0"/>
            </a:rPr>
            <a:t> Income</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a:t>
          </a:r>
          <a:r>
            <a:rPr lang="es-CL" sz="1100" baseline="0">
              <a:solidFill>
                <a:schemeClr val="tx1">
                  <a:lumMod val="65000"/>
                  <a:lumOff val="35000"/>
                </a:schemeClr>
              </a:solidFill>
              <a:latin typeface="Trebuchet MS" panose="020B0603020202020204" pitchFamily="34" charset="0"/>
            </a:rPr>
            <a:t> Income</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a:t>
          </a:r>
          <a:r>
            <a:rPr lang="es-CL" sz="1100" baseline="0">
              <a:solidFill>
                <a:schemeClr val="tx1">
                  <a:lumMod val="65000"/>
                  <a:lumOff val="35000"/>
                </a:schemeClr>
              </a:solidFill>
              <a:latin typeface="Trebuchet MS" panose="020B0603020202020204" pitchFamily="34" charset="0"/>
            </a:rPr>
            <a:t> Sheet</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a:t>
          </a:r>
          <a:r>
            <a:rPr lang="es-CL" sz="1100" baseline="0">
              <a:solidFill>
                <a:schemeClr val="tx1">
                  <a:lumMod val="65000"/>
                  <a:lumOff val="35000"/>
                </a:schemeClr>
              </a:solidFill>
              <a:latin typeface="Trebuchet MS" panose="020B0603020202020204" pitchFamily="34" charset="0"/>
            </a:rPr>
            <a:t> Debt Items</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Cash</a:t>
          </a:r>
          <a:r>
            <a:rPr lang="es-CL" sz="1100" baseline="0">
              <a:solidFill>
                <a:schemeClr val="tx1">
                  <a:lumMod val="65000"/>
                  <a:lumOff val="35000"/>
                </a:schemeClr>
              </a:solidFill>
              <a:latin typeface="Trebuchet MS" panose="020B0603020202020204" pitchFamily="34" charset="0"/>
            </a:rPr>
            <a:t> Flow</a:t>
          </a:r>
          <a:endParaRPr lang="es-CL" sz="1100">
            <a:solidFill>
              <a:schemeClr val="tx1">
                <a:lumMod val="65000"/>
                <a:lumOff val="35000"/>
              </a:schemeClr>
            </a:solidFill>
            <a:latin typeface="Trebuchet MS" panose="020B0603020202020204" pitchFamily="34" charset="0"/>
          </a:endParaRP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4Q23</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437514</xdr:colOff>
      <xdr:row>0</xdr:row>
      <xdr:rowOff>0</xdr:rowOff>
    </xdr:from>
    <xdr:to>
      <xdr:col>4</xdr:col>
      <xdr:colOff>74169</xdr:colOff>
      <xdr:row>3</xdr:row>
      <xdr:rowOff>74930</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514" y="0"/>
          <a:ext cx="2837055" cy="617855"/>
        </a:xfrm>
        <a:prstGeom prst="rect">
          <a:avLst/>
        </a:prstGeom>
        <a:ln w="12700">
          <a:miter lim="400000"/>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1495426</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200291"/>
          <a:ext cx="1487303" cy="584018"/>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1499659</xdr:colOff>
      <xdr:row>2</xdr:row>
      <xdr:rowOff>67742</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74356"/>
          <a:ext cx="1487303" cy="558542"/>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64101</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86596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1476376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11685"/>
          <a:ext cx="1487303" cy="525663"/>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49221</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80493"/>
          <a:ext cx="1487303" cy="547920"/>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1495425</xdr:colOff>
      <xdr:row>2</xdr:row>
      <xdr:rowOff>63509</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902632"/>
          <a:ext cx="1487303" cy="578908"/>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66684</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44779"/>
          <a:ext cx="1487303" cy="549478"/>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58592"/>
          <a:ext cx="1487303" cy="537268"/>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bun.sharepoint.com/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lbun.sharepoint.com/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EFE DIR"/>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1198.4587716144599</v>
          </cell>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
  <sheetViews>
    <sheetView showGridLines="0" workbookViewId="0"/>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4:AW40"/>
  <sheetViews>
    <sheetView topLeftCell="B2" zoomScale="87" zoomScaleNormal="87" workbookViewId="0">
      <selection activeCell="AX35" sqref="AX35"/>
    </sheetView>
  </sheetViews>
  <sheetFormatPr defaultColWidth="11.453125" defaultRowHeight="13.5"/>
  <cols>
    <col min="1" max="1" width="0" style="1" hidden="1" customWidth="1"/>
    <col min="2" max="2" width="57" style="1" customWidth="1"/>
    <col min="3" max="6" width="11.453125" style="1"/>
    <col min="7" max="7" width="11.453125" style="57"/>
    <col min="8" max="8" width="55.7265625" style="1" customWidth="1"/>
    <col min="9" max="43" width="11.453125" style="1" hidden="1" customWidth="1"/>
    <col min="44" max="48" width="11.453125" style="1" customWidth="1"/>
    <col min="49" max="16384" width="11.453125" style="1"/>
  </cols>
  <sheetData>
    <row r="4" spans="1:4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6" spans="1:49">
      <c r="A6" s="1">
        <v>1</v>
      </c>
      <c r="B6" s="3" t="s">
        <v>175</v>
      </c>
      <c r="C6" s="108" t="s">
        <v>43</v>
      </c>
      <c r="D6" s="108" t="s">
        <v>44</v>
      </c>
      <c r="E6" s="108" t="s">
        <v>45</v>
      </c>
      <c r="G6" s="57">
        <v>1</v>
      </c>
      <c r="H6" s="3" t="s">
        <v>175</v>
      </c>
      <c r="I6" s="108" t="s">
        <v>47</v>
      </c>
      <c r="J6" s="108" t="s">
        <v>48</v>
      </c>
      <c r="K6" s="108" t="s">
        <v>49</v>
      </c>
      <c r="L6" s="108" t="s">
        <v>50</v>
      </c>
      <c r="M6" s="108" t="s">
        <v>51</v>
      </c>
      <c r="N6" s="108" t="s">
        <v>52</v>
      </c>
      <c r="O6" s="108" t="s">
        <v>53</v>
      </c>
      <c r="P6" s="108" t="s">
        <v>54</v>
      </c>
      <c r="Q6" s="108" t="s">
        <v>55</v>
      </c>
      <c r="R6" s="108" t="s">
        <v>56</v>
      </c>
      <c r="S6" s="108" t="s">
        <v>57</v>
      </c>
      <c r="T6" s="108" t="s">
        <v>58</v>
      </c>
      <c r="U6" s="108" t="s">
        <v>59</v>
      </c>
      <c r="V6" s="108" t="s">
        <v>60</v>
      </c>
      <c r="W6" s="108" t="s">
        <v>61</v>
      </c>
      <c r="X6" s="108" t="s">
        <v>62</v>
      </c>
      <c r="Y6" s="108" t="s">
        <v>63</v>
      </c>
      <c r="Z6" s="108" t="s">
        <v>64</v>
      </c>
      <c r="AA6" s="108" t="s">
        <v>65</v>
      </c>
      <c r="AB6" s="108" t="s">
        <v>66</v>
      </c>
      <c r="AC6" s="108" t="s">
        <v>67</v>
      </c>
      <c r="AD6" s="108" t="s">
        <v>68</v>
      </c>
      <c r="AE6" s="108" t="s">
        <v>69</v>
      </c>
      <c r="AF6" s="108" t="s">
        <v>70</v>
      </c>
      <c r="AG6" s="108" t="s">
        <v>71</v>
      </c>
      <c r="AH6" s="108" t="s">
        <v>72</v>
      </c>
      <c r="AI6" s="108" t="s">
        <v>73</v>
      </c>
      <c r="AJ6" s="108" t="s">
        <v>74</v>
      </c>
      <c r="AK6" s="108" t="s">
        <v>75</v>
      </c>
      <c r="AL6" s="108" t="s">
        <v>76</v>
      </c>
      <c r="AM6" s="108" t="s">
        <v>77</v>
      </c>
      <c r="AN6" s="108" t="s">
        <v>78</v>
      </c>
      <c r="AO6" s="108" t="s">
        <v>79</v>
      </c>
      <c r="AP6" s="108" t="s">
        <v>80</v>
      </c>
      <c r="AQ6" s="108" t="s">
        <v>81</v>
      </c>
      <c r="AR6" s="108" t="s">
        <v>43</v>
      </c>
      <c r="AS6" s="108" t="s">
        <v>82</v>
      </c>
      <c r="AT6" s="108" t="s">
        <v>83</v>
      </c>
      <c r="AU6" s="108" t="s">
        <v>84</v>
      </c>
      <c r="AV6" s="108" t="s">
        <v>44</v>
      </c>
    </row>
    <row r="7" spans="1:49">
      <c r="A7" s="1">
        <v>2</v>
      </c>
      <c r="B7" s="3" t="s">
        <v>105</v>
      </c>
      <c r="C7" s="108"/>
      <c r="D7" s="108"/>
      <c r="E7" s="108"/>
      <c r="G7" s="57">
        <f>G6+1</f>
        <v>2</v>
      </c>
      <c r="H7" s="3" t="s">
        <v>105</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row>
    <row r="8" spans="1:49">
      <c r="A8" s="1">
        <v>3</v>
      </c>
      <c r="G8" s="57">
        <f t="shared" ref="G8:G18" si="0">G7+1</f>
        <v>3</v>
      </c>
    </row>
    <row r="9" spans="1:49">
      <c r="A9" s="1">
        <v>4</v>
      </c>
      <c r="B9" s="6" t="s">
        <v>176</v>
      </c>
      <c r="C9" s="9">
        <v>950.63473795999971</v>
      </c>
      <c r="D9" s="9">
        <v>882.19505667323585</v>
      </c>
      <c r="E9" s="37">
        <f>D9/C9-1</f>
        <v>-7.1993667550620977E-2</v>
      </c>
      <c r="G9" s="57">
        <f t="shared" si="0"/>
        <v>4</v>
      </c>
      <c r="H9" s="6" t="s">
        <v>177</v>
      </c>
      <c r="I9" s="18">
        <v>260.39999999999998</v>
      </c>
      <c r="J9" s="9">
        <f t="shared" ref="J9:AC9" si="1">+I18</f>
        <v>208.29999999999998</v>
      </c>
      <c r="K9" s="9">
        <f t="shared" si="1"/>
        <v>337.4</v>
      </c>
      <c r="L9" s="9">
        <f t="shared" si="1"/>
        <v>878.3</v>
      </c>
      <c r="M9" s="9">
        <f t="shared" si="1"/>
        <v>832.8</v>
      </c>
      <c r="N9" s="9">
        <f t="shared" si="1"/>
        <v>816.69999999999993</v>
      </c>
      <c r="O9" s="9">
        <f t="shared" si="1"/>
        <v>912.49099999999987</v>
      </c>
      <c r="P9" s="9">
        <f t="shared" si="1"/>
        <v>1090.6089999999999</v>
      </c>
      <c r="Q9" s="9">
        <f t="shared" si="1"/>
        <v>1080.8256289999999</v>
      </c>
      <c r="R9" s="9">
        <f t="shared" si="1"/>
        <v>1042.8013145999998</v>
      </c>
      <c r="S9" s="9">
        <f t="shared" si="1"/>
        <v>827.98442899999998</v>
      </c>
      <c r="T9" s="9">
        <f t="shared" si="1"/>
        <v>577.45219999999995</v>
      </c>
      <c r="U9" s="9">
        <f t="shared" si="1"/>
        <v>644.96532536999996</v>
      </c>
      <c r="V9" s="9">
        <f t="shared" si="1"/>
        <v>625.20732536999992</v>
      </c>
      <c r="W9" s="9">
        <f t="shared" si="1"/>
        <v>642.65332536999983</v>
      </c>
      <c r="X9" s="9">
        <f t="shared" si="1"/>
        <v>732.58632536999994</v>
      </c>
      <c r="Y9" s="9">
        <f t="shared" si="1"/>
        <v>757.34441991999984</v>
      </c>
      <c r="Z9" s="9">
        <f t="shared" si="1"/>
        <v>840.16941991999988</v>
      </c>
      <c r="AA9" s="9">
        <f t="shared" si="1"/>
        <v>643.25441991999992</v>
      </c>
      <c r="AB9" s="9">
        <f t="shared" si="1"/>
        <v>738.24441991999993</v>
      </c>
      <c r="AC9" s="9">
        <f t="shared" si="1"/>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101">
        <v>1067.4524574799998</v>
      </c>
      <c r="AT9" s="9">
        <v>985.32754586981616</v>
      </c>
      <c r="AU9" s="9">
        <v>882.19505667323585</v>
      </c>
      <c r="AV9" s="9">
        <f>AU18</f>
        <v>1092.87394421</v>
      </c>
      <c r="AW9" s="52"/>
    </row>
    <row r="10" spans="1:49" ht="8.25" customHeight="1">
      <c r="A10" s="1">
        <v>5</v>
      </c>
      <c r="G10" s="57">
        <f t="shared" si="0"/>
        <v>5</v>
      </c>
      <c r="I10" s="21"/>
      <c r="J10" s="21"/>
      <c r="K10" s="21"/>
      <c r="L10" s="21"/>
      <c r="M10" s="21"/>
      <c r="N10" s="21"/>
      <c r="O10" s="21"/>
      <c r="P10" s="21"/>
    </row>
    <row r="11" spans="1:49">
      <c r="A11" s="1">
        <v>6</v>
      </c>
      <c r="B11" s="5" t="s">
        <v>178</v>
      </c>
      <c r="C11" s="8">
        <v>300.2758604500001</v>
      </c>
      <c r="D11" s="8">
        <f>381.561157746764-D30</f>
        <v>342.56115774676402</v>
      </c>
      <c r="E11" s="48">
        <f t="shared" ref="E11:E16" si="2">+D11/C11-1</f>
        <v>0.14082150071402433</v>
      </c>
      <c r="G11" s="57">
        <f t="shared" si="0"/>
        <v>6</v>
      </c>
      <c r="H11" s="5" t="s">
        <v>178</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52"/>
    </row>
    <row r="12" spans="1:49">
      <c r="A12" s="1">
        <v>7</v>
      </c>
      <c r="B12" s="5" t="s">
        <v>179</v>
      </c>
      <c r="C12" s="8">
        <v>-26.361958999999999</v>
      </c>
      <c r="D12" s="8">
        <f>-44.7008879-D31</f>
        <v>-21.000887899999999</v>
      </c>
      <c r="E12" s="48">
        <f t="shared" si="2"/>
        <v>-0.20336391161218337</v>
      </c>
      <c r="G12" s="57">
        <f t="shared" si="0"/>
        <v>7</v>
      </c>
      <c r="H12" s="5" t="s">
        <v>180</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row>
    <row r="13" spans="1:49">
      <c r="A13" s="1">
        <v>8</v>
      </c>
      <c r="B13" s="5" t="s">
        <v>181</v>
      </c>
      <c r="C13" s="8">
        <v>-67.040999999999997</v>
      </c>
      <c r="D13" s="8">
        <f>-106.71573031-D32</f>
        <v>-102.51573031</v>
      </c>
      <c r="E13" s="48">
        <f t="shared" si="2"/>
        <v>0.52914977864292001</v>
      </c>
      <c r="G13" s="57">
        <f t="shared" si="0"/>
        <v>8</v>
      </c>
      <c r="H13" s="5" t="s">
        <v>182</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52"/>
    </row>
    <row r="14" spans="1:49">
      <c r="A14" s="1">
        <v>9</v>
      </c>
      <c r="B14" s="19" t="s">
        <v>183</v>
      </c>
      <c r="C14" s="20">
        <v>206.87290145000009</v>
      </c>
      <c r="D14" s="20">
        <f>231.144539536764-D33</f>
        <v>220.04453953676401</v>
      </c>
      <c r="E14" s="54">
        <f t="shared" si="2"/>
        <v>6.3670195537656848E-2</v>
      </c>
      <c r="G14" s="57">
        <f t="shared" si="0"/>
        <v>9</v>
      </c>
      <c r="H14" s="19" t="s">
        <v>183</v>
      </c>
      <c r="I14" s="20">
        <v>-48</v>
      </c>
      <c r="J14" s="20">
        <v>130.9</v>
      </c>
      <c r="K14" s="20">
        <v>559.4</v>
      </c>
      <c r="L14" s="20">
        <v>-51.099999999999987</v>
      </c>
      <c r="M14" s="20">
        <v>-16.399999999999995</v>
      </c>
      <c r="N14" s="20">
        <v>96.135000000000005</v>
      </c>
      <c r="O14" s="20">
        <v>183.25</v>
      </c>
      <c r="P14" s="20">
        <v>-8.2833710000000167</v>
      </c>
      <c r="Q14" s="20">
        <v>-2.4379144000000226</v>
      </c>
      <c r="R14" s="20">
        <f t="shared" ref="R14" si="3">SUM(R11:R13)</f>
        <v>-217.23088559999997</v>
      </c>
      <c r="S14" s="20">
        <f t="shared" ref="S14" si="4">SUM(S11:S13)</f>
        <v>-250.978229</v>
      </c>
      <c r="T14" s="20">
        <f t="shared" ref="T14" si="5">SUM(T11:T13)</f>
        <v>69.550125370000018</v>
      </c>
      <c r="U14" s="20">
        <f t="shared" ref="U14" si="6">SUM(U11:U13)</f>
        <v>-20.726000000000013</v>
      </c>
      <c r="V14" s="20">
        <f t="shared" ref="V14:W14" si="7">SUM(V11:V13)</f>
        <v>17.821999999999953</v>
      </c>
      <c r="W14" s="20">
        <f t="shared" si="7"/>
        <v>86.719000000000051</v>
      </c>
      <c r="X14" s="20">
        <f t="shared" ref="X14:AE14" si="8">SUM(X11:X13)</f>
        <v>16.327094549999909</v>
      </c>
      <c r="Y14" s="20">
        <f t="shared" si="8"/>
        <v>79.796999999999997</v>
      </c>
      <c r="Z14" s="20">
        <f t="shared" si="8"/>
        <v>-181.13899999999998</v>
      </c>
      <c r="AA14" s="20">
        <f t="shared" si="8"/>
        <v>97.842000000000041</v>
      </c>
      <c r="AB14" s="20">
        <f t="shared" si="8"/>
        <v>31.286000000000023</v>
      </c>
      <c r="AC14" s="20">
        <f t="shared" si="8"/>
        <v>35.599999999999987</v>
      </c>
      <c r="AD14" s="20">
        <f t="shared" si="8"/>
        <v>-149.30000000000001</v>
      </c>
      <c r="AE14" s="20">
        <f t="shared" si="8"/>
        <v>122.17200000000001</v>
      </c>
      <c r="AF14" s="20">
        <f t="shared" ref="AF14:AH14" si="9">SUM(AF11:AF13)</f>
        <v>8.1279999999999681</v>
      </c>
      <c r="AG14" s="20">
        <f t="shared" si="9"/>
        <v>179.5</v>
      </c>
      <c r="AH14" s="20">
        <f t="shared" si="9"/>
        <v>-135.19999999999999</v>
      </c>
      <c r="AI14" s="20">
        <f t="shared" ref="AI14:AM14" si="10">SUM(AI11:AI13)</f>
        <v>120.99999999999997</v>
      </c>
      <c r="AJ14" s="20">
        <f t="shared" si="10"/>
        <v>-12.699999999999996</v>
      </c>
      <c r="AK14" s="20">
        <f t="shared" si="10"/>
        <v>71.363970000000009</v>
      </c>
      <c r="AL14" s="20">
        <f t="shared" si="10"/>
        <v>-251.11711</v>
      </c>
      <c r="AM14" s="20">
        <f t="shared" si="10"/>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V14" si="11">SUM(AS11:AS13)</f>
        <v>-80.198563610183712</v>
      </c>
      <c r="AT14" s="20">
        <f t="shared" si="11"/>
        <v>-104.14597592657979</v>
      </c>
      <c r="AU14" s="20">
        <f t="shared" si="11"/>
        <v>219.04453953676403</v>
      </c>
      <c r="AV14" s="20">
        <f t="shared" si="11"/>
        <v>-153.35</v>
      </c>
      <c r="AW14" s="52"/>
    </row>
    <row r="15" spans="1:49" ht="8.25" customHeight="1">
      <c r="A15" s="1">
        <v>10</v>
      </c>
      <c r="G15" s="57">
        <f t="shared" si="0"/>
        <v>10</v>
      </c>
      <c r="I15" s="21"/>
      <c r="J15" s="21"/>
      <c r="K15" s="21"/>
      <c r="L15" s="21"/>
      <c r="M15" s="21"/>
      <c r="N15" s="21"/>
      <c r="O15" s="21"/>
      <c r="P15" s="21"/>
    </row>
    <row r="16" spans="1:49">
      <c r="A16" s="1">
        <v>11</v>
      </c>
      <c r="B16" s="5" t="s">
        <v>184</v>
      </c>
      <c r="C16" s="8">
        <v>-6.845170230000349</v>
      </c>
      <c r="D16" s="8">
        <f>-9.177652-D35</f>
        <v>-8.3656520000000008</v>
      </c>
      <c r="E16" s="48">
        <f t="shared" si="2"/>
        <v>0.22212475642107954</v>
      </c>
      <c r="G16" s="57">
        <f t="shared" si="0"/>
        <v>11</v>
      </c>
      <c r="H16" s="5" t="s">
        <v>184</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52"/>
    </row>
    <row r="17" spans="1:49" ht="8.25" customHeight="1">
      <c r="A17" s="1">
        <v>12</v>
      </c>
      <c r="G17" s="57">
        <f t="shared" si="0"/>
        <v>12</v>
      </c>
      <c r="I17" s="21"/>
      <c r="J17" s="21"/>
      <c r="K17" s="21"/>
      <c r="L17" s="21"/>
      <c r="M17" s="21"/>
      <c r="N17" s="21"/>
      <c r="O17" s="21"/>
      <c r="P17" s="21"/>
    </row>
    <row r="18" spans="1:49">
      <c r="A18" s="1">
        <v>13</v>
      </c>
      <c r="B18" s="6" t="s">
        <v>185</v>
      </c>
      <c r="C18" s="9">
        <v>1150.6624691799996</v>
      </c>
      <c r="D18" s="9">
        <f>1170.7003818-D37</f>
        <v>1092.87394421</v>
      </c>
      <c r="E18" s="67">
        <f>D18/C18-1</f>
        <v>-5.0221960407887067E-2</v>
      </c>
      <c r="G18" s="57">
        <f t="shared" si="0"/>
        <v>13</v>
      </c>
      <c r="H18" s="6" t="s">
        <v>185</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2">U16+U14+U9</f>
        <v>625.20732536999992</v>
      </c>
      <c r="V18" s="9">
        <f t="shared" si="12"/>
        <v>642.65332536999983</v>
      </c>
      <c r="W18" s="9">
        <f t="shared" si="12"/>
        <v>732.58632536999994</v>
      </c>
      <c r="X18" s="9">
        <f t="shared" si="12"/>
        <v>757.34441991999984</v>
      </c>
      <c r="Y18" s="9">
        <f t="shared" si="12"/>
        <v>840.16941991999988</v>
      </c>
      <c r="Z18" s="9">
        <f t="shared" si="12"/>
        <v>643.25441991999992</v>
      </c>
      <c r="AA18" s="9">
        <f t="shared" ref="AA18:AH18" si="13">AA16+AA14+AA9</f>
        <v>738.24441991999993</v>
      </c>
      <c r="AB18" s="9">
        <f t="shared" si="13"/>
        <v>764.4089199199999</v>
      </c>
      <c r="AC18" s="9">
        <f t="shared" si="13"/>
        <v>802.70891991999986</v>
      </c>
      <c r="AD18" s="9">
        <f t="shared" si="13"/>
        <v>649.80891991999988</v>
      </c>
      <c r="AE18" s="9">
        <f t="shared" si="13"/>
        <v>766.85041992000004</v>
      </c>
      <c r="AF18" s="9">
        <f t="shared" si="13"/>
        <v>773.54441991999988</v>
      </c>
      <c r="AG18" s="9">
        <f t="shared" si="13"/>
        <v>951.04969842999992</v>
      </c>
      <c r="AH18" s="9">
        <f t="shared" si="13"/>
        <v>813.14969842999994</v>
      </c>
      <c r="AI18" s="9">
        <f t="shared" ref="AI18:AO18" si="14">AI16+AI14+AI9</f>
        <v>938.64969842999994</v>
      </c>
      <c r="AJ18" s="9">
        <f t="shared" si="14"/>
        <v>936.4496984299999</v>
      </c>
      <c r="AK18" s="9">
        <f>1027.9-AK37</f>
        <v>1006.1283000000001</v>
      </c>
      <c r="AL18" s="9">
        <f t="shared" si="14"/>
        <v>757.01755843000001</v>
      </c>
      <c r="AM18" s="9">
        <f t="shared" si="14"/>
        <v>1864.68255843</v>
      </c>
      <c r="AN18" s="9">
        <f t="shared" si="14"/>
        <v>1391.5009341099997</v>
      </c>
      <c r="AO18" s="9">
        <f t="shared" si="14"/>
        <v>1175.0958348099998</v>
      </c>
      <c r="AP18" s="9">
        <f>AP16+AP14+AP9</f>
        <v>950.63473795999971</v>
      </c>
      <c r="AQ18" s="9">
        <f>AQ16+AQ14+AQ9</f>
        <v>1150.6624691799993</v>
      </c>
      <c r="AR18" s="101">
        <f>+AR9+AR14+AR16</f>
        <v>1067.4524574799998</v>
      </c>
      <c r="AS18" s="9">
        <f>+AS9+AS14+AS16</f>
        <v>985.32754586981616</v>
      </c>
      <c r="AT18" s="9">
        <f>+AT9+AT14+AT16</f>
        <v>882.39256994323637</v>
      </c>
      <c r="AU18" s="9">
        <f>1170.7003818-AU37</f>
        <v>1092.87394421</v>
      </c>
      <c r="AV18" s="9">
        <f>+AV9+AV14+AV16</f>
        <v>947.52394420999997</v>
      </c>
    </row>
    <row r="19" spans="1:49">
      <c r="AK19" s="52"/>
    </row>
    <row r="23" spans="1:49"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row>
    <row r="25" spans="1:49">
      <c r="A25" s="1">
        <v>1</v>
      </c>
      <c r="B25" s="3" t="s">
        <v>175</v>
      </c>
      <c r="C25" s="108" t="str">
        <f>C6</f>
        <v>4Q22</v>
      </c>
      <c r="D25" s="108" t="str">
        <f>D6</f>
        <v>4Q23</v>
      </c>
      <c r="E25" s="108" t="s">
        <v>45</v>
      </c>
      <c r="G25" s="57">
        <v>1</v>
      </c>
      <c r="H25" s="3" t="s">
        <v>175</v>
      </c>
      <c r="I25" s="108" t="s">
        <v>47</v>
      </c>
      <c r="J25" s="108" t="s">
        <v>48</v>
      </c>
      <c r="K25" s="108" t="s">
        <v>49</v>
      </c>
      <c r="L25" s="108" t="s">
        <v>50</v>
      </c>
      <c r="M25" s="108" t="s">
        <v>51</v>
      </c>
      <c r="N25" s="108" t="s">
        <v>52</v>
      </c>
      <c r="O25" s="108" t="s">
        <v>53</v>
      </c>
      <c r="P25" s="108" t="s">
        <v>54</v>
      </c>
      <c r="Q25" s="108" t="s">
        <v>55</v>
      </c>
      <c r="R25" s="108" t="s">
        <v>56</v>
      </c>
      <c r="S25" s="108" t="s">
        <v>57</v>
      </c>
      <c r="T25" s="108" t="s">
        <v>58</v>
      </c>
      <c r="U25" s="108" t="s">
        <v>59</v>
      </c>
      <c r="V25" s="108" t="s">
        <v>60</v>
      </c>
      <c r="W25" s="108" t="s">
        <v>61</v>
      </c>
      <c r="X25" s="108" t="s">
        <v>62</v>
      </c>
      <c r="Y25" s="108" t="s">
        <v>63</v>
      </c>
      <c r="Z25" s="108" t="s">
        <v>64</v>
      </c>
      <c r="AA25" s="108" t="s">
        <v>65</v>
      </c>
      <c r="AB25" s="108" t="s">
        <v>66</v>
      </c>
      <c r="AC25" s="108" t="s">
        <v>67</v>
      </c>
      <c r="AD25" s="108" t="s">
        <v>68</v>
      </c>
      <c r="AE25" s="108" t="s">
        <v>69</v>
      </c>
      <c r="AF25" s="108" t="s">
        <v>70</v>
      </c>
      <c r="AG25" s="108" t="s">
        <v>71</v>
      </c>
      <c r="AH25" s="108" t="s">
        <v>72</v>
      </c>
      <c r="AI25" s="108" t="s">
        <v>73</v>
      </c>
      <c r="AJ25" s="108" t="s">
        <v>74</v>
      </c>
      <c r="AK25" s="108" t="s">
        <v>75</v>
      </c>
      <c r="AL25" s="108" t="s">
        <v>76</v>
      </c>
      <c r="AM25" s="108" t="s">
        <v>77</v>
      </c>
      <c r="AN25" s="108" t="s">
        <v>78</v>
      </c>
      <c r="AO25" s="108" t="s">
        <v>79</v>
      </c>
      <c r="AP25" s="108" t="s">
        <v>80</v>
      </c>
      <c r="AQ25" s="108" t="s">
        <v>81</v>
      </c>
      <c r="AR25" s="108" t="s">
        <v>43</v>
      </c>
      <c r="AS25" s="108" t="s">
        <v>82</v>
      </c>
      <c r="AT25" s="108" t="s">
        <v>83</v>
      </c>
      <c r="AU25" s="108" t="s">
        <v>84</v>
      </c>
      <c r="AV25" s="108" t="s">
        <v>44</v>
      </c>
      <c r="AW25" s="52"/>
    </row>
    <row r="26" spans="1:49">
      <c r="A26" s="1">
        <v>2</v>
      </c>
      <c r="B26" s="3" t="s">
        <v>105</v>
      </c>
      <c r="C26" s="108"/>
      <c r="D26" s="108"/>
      <c r="E26" s="108"/>
      <c r="G26" s="57">
        <f>G25+1</f>
        <v>2</v>
      </c>
      <c r="H26" s="3" t="s">
        <v>105</v>
      </c>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row>
    <row r="27" spans="1:49">
      <c r="A27" s="1">
        <v>3</v>
      </c>
      <c r="G27" s="57">
        <f t="shared" ref="G27:G37" si="15">G26+1</f>
        <v>3</v>
      </c>
    </row>
    <row r="28" spans="1:49">
      <c r="A28" s="1">
        <v>4</v>
      </c>
      <c r="B28" s="6" t="s">
        <v>176</v>
      </c>
      <c r="C28" s="9">
        <v>39.199999999999989</v>
      </c>
      <c r="D28" s="9">
        <v>67.538437590000171</v>
      </c>
      <c r="E28" s="37">
        <f>D28/C28-1</f>
        <v>0.72291932627551514</v>
      </c>
      <c r="G28" s="57">
        <f t="shared" si="15"/>
        <v>4</v>
      </c>
      <c r="H28" s="6" t="s">
        <v>177</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6">+AF37</f>
        <v>23.770700000000005</v>
      </c>
      <c r="AH28" s="9">
        <f t="shared" si="16"/>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row>
    <row r="29" spans="1:49" ht="8.25" customHeight="1">
      <c r="A29" s="1">
        <v>5</v>
      </c>
      <c r="G29" s="57">
        <f t="shared" si="15"/>
        <v>5</v>
      </c>
      <c r="I29" s="21"/>
      <c r="J29" s="21"/>
      <c r="K29" s="21"/>
      <c r="L29" s="21"/>
      <c r="M29" s="21"/>
      <c r="N29" s="21"/>
      <c r="O29" s="21"/>
      <c r="P29" s="21"/>
    </row>
    <row r="30" spans="1:49">
      <c r="A30" s="1">
        <v>6</v>
      </c>
      <c r="B30" s="5" t="s">
        <v>178</v>
      </c>
      <c r="C30" s="8">
        <v>22.000000000000007</v>
      </c>
      <c r="D30" s="8">
        <v>39</v>
      </c>
      <c r="E30" s="36">
        <f t="shared" ref="E30:E35" si="17">+D30/C30-1</f>
        <v>0.77272727272727226</v>
      </c>
      <c r="G30" s="57">
        <f t="shared" si="15"/>
        <v>6</v>
      </c>
      <c r="H30" s="5" t="s">
        <v>178</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52"/>
    </row>
    <row r="31" spans="1:49">
      <c r="A31" s="1">
        <v>7</v>
      </c>
      <c r="B31" s="5" t="s">
        <v>186</v>
      </c>
      <c r="C31" s="8">
        <v>-23.8</v>
      </c>
      <c r="D31" s="8">
        <v>-23.7</v>
      </c>
      <c r="E31" s="36">
        <f t="shared" si="17"/>
        <v>-4.2016806722690037E-3</v>
      </c>
      <c r="G31" s="57">
        <f t="shared" si="15"/>
        <v>7</v>
      </c>
      <c r="H31" s="5" t="s">
        <v>180</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row>
    <row r="32" spans="1:49">
      <c r="A32" s="1">
        <v>8</v>
      </c>
      <c r="B32" s="5" t="s">
        <v>182</v>
      </c>
      <c r="C32" s="8">
        <v>-11.6</v>
      </c>
      <c r="D32" s="8">
        <v>-4.2</v>
      </c>
      <c r="E32" s="36">
        <f t="shared" si="17"/>
        <v>-0.63793103448275867</v>
      </c>
      <c r="G32" s="57">
        <f t="shared" si="15"/>
        <v>8</v>
      </c>
      <c r="H32" s="5" t="s">
        <v>182</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row>
    <row r="33" spans="1:49">
      <c r="A33" s="1">
        <v>9</v>
      </c>
      <c r="B33" s="19" t="s">
        <v>183</v>
      </c>
      <c r="C33" s="20">
        <v>-13.399999999999993</v>
      </c>
      <c r="D33" s="20">
        <v>11.100000000000001</v>
      </c>
      <c r="E33" s="54" t="s">
        <v>101</v>
      </c>
      <c r="G33" s="57">
        <f t="shared" si="15"/>
        <v>9</v>
      </c>
      <c r="H33" s="19" t="s">
        <v>183</v>
      </c>
      <c r="I33" s="22"/>
      <c r="J33" s="22"/>
      <c r="K33" s="22"/>
      <c r="L33" s="22"/>
      <c r="M33" s="22"/>
      <c r="N33" s="22"/>
      <c r="O33" s="22"/>
      <c r="P33" s="22"/>
      <c r="Q33" s="20">
        <v>-3.0490999999999984</v>
      </c>
      <c r="R33" s="20">
        <v>0.96990000000000065</v>
      </c>
      <c r="S33" s="20">
        <f t="shared" ref="S33" si="18">SUM(S30:S32)</f>
        <v>2.633999999999999</v>
      </c>
      <c r="T33" s="20">
        <f t="shared" ref="T33" si="19">SUM(T30:T32)</f>
        <v>-20.722499999999997</v>
      </c>
      <c r="U33" s="20">
        <f t="shared" ref="U33" si="20">SUM(U30:U32)</f>
        <v>16.568999999999999</v>
      </c>
      <c r="V33" s="20">
        <f t="shared" ref="V33:X33" si="21">SUM(V30:V32)</f>
        <v>-1.1770000000000018</v>
      </c>
      <c r="W33" s="20">
        <f t="shared" si="21"/>
        <v>6.6410000000000009</v>
      </c>
      <c r="X33" s="20">
        <f t="shared" si="21"/>
        <v>11.280999999999999</v>
      </c>
      <c r="Y33" s="20">
        <f>SUM(Y30:Y32)</f>
        <v>-10.9</v>
      </c>
      <c r="Z33" s="20">
        <v>12.5</v>
      </c>
      <c r="AA33" s="20">
        <v>-5.9</v>
      </c>
      <c r="AB33" s="20">
        <f t="shared" ref="AB33:AR33" si="22">+AB30+AB31+AB32</f>
        <v>-22.186</v>
      </c>
      <c r="AC33" s="20">
        <f t="shared" si="22"/>
        <v>-11</v>
      </c>
      <c r="AD33" s="20">
        <f t="shared" si="22"/>
        <v>4.3000000000000007</v>
      </c>
      <c r="AE33" s="20">
        <f t="shared" si="22"/>
        <v>-3.7999999999999994</v>
      </c>
      <c r="AF33" s="20">
        <f t="shared" si="22"/>
        <v>9.8999999999999986</v>
      </c>
      <c r="AG33" s="20">
        <f t="shared" si="22"/>
        <v>5.5</v>
      </c>
      <c r="AH33" s="20">
        <f t="shared" si="22"/>
        <v>12.500000000000002</v>
      </c>
      <c r="AI33" s="20">
        <f t="shared" si="22"/>
        <v>-13.299999999999997</v>
      </c>
      <c r="AJ33" s="20">
        <f t="shared" si="22"/>
        <v>3.6999999999999997</v>
      </c>
      <c r="AK33" s="20">
        <f t="shared" si="22"/>
        <v>-8.8529999999999998</v>
      </c>
      <c r="AL33" s="20">
        <f t="shared" si="22"/>
        <v>11.252999999999995</v>
      </c>
      <c r="AM33" s="20">
        <f t="shared" si="22"/>
        <v>-10.716999999999995</v>
      </c>
      <c r="AN33" s="20">
        <f t="shared" si="22"/>
        <v>5.8169999999999948</v>
      </c>
      <c r="AO33" s="20">
        <f t="shared" si="22"/>
        <v>-5.8999999999999995</v>
      </c>
      <c r="AP33" s="20">
        <f t="shared" si="22"/>
        <v>15.999999999999993</v>
      </c>
      <c r="AQ33" s="20">
        <f t="shared" si="22"/>
        <v>-13.399999999999993</v>
      </c>
      <c r="AR33" s="20">
        <f t="shared" si="22"/>
        <v>61.8</v>
      </c>
      <c r="AS33" s="20">
        <f>+AS30+AS31+AS32</f>
        <v>-10.799999999999997</v>
      </c>
      <c r="AT33" s="20">
        <f>+AT30+AT31+AT32</f>
        <v>-9.9</v>
      </c>
      <c r="AU33" s="20">
        <f>+AU30+AU31+AU32</f>
        <v>11.100000000000001</v>
      </c>
      <c r="AV33" s="20">
        <f>+AV30+AV31+AV32</f>
        <v>5.7999999999999989</v>
      </c>
    </row>
    <row r="34" spans="1:49" ht="8.25" customHeight="1">
      <c r="A34" s="1">
        <v>10</v>
      </c>
      <c r="G34" s="57">
        <f t="shared" si="15"/>
        <v>10</v>
      </c>
      <c r="I34" s="21"/>
      <c r="J34" s="21"/>
      <c r="K34" s="21"/>
      <c r="L34" s="21"/>
      <c r="M34" s="21"/>
      <c r="N34" s="21"/>
      <c r="O34" s="21"/>
      <c r="P34" s="21"/>
    </row>
    <row r="35" spans="1:49">
      <c r="A35" s="1">
        <v>11</v>
      </c>
      <c r="B35" s="5" t="s">
        <v>184</v>
      </c>
      <c r="C35" s="8">
        <v>-0.65690676999965092</v>
      </c>
      <c r="D35" s="8">
        <v>-0.81200000000000006</v>
      </c>
      <c r="E35" s="36">
        <f t="shared" si="17"/>
        <v>0.23609625761724384</v>
      </c>
      <c r="G35" s="57">
        <f t="shared" si="15"/>
        <v>11</v>
      </c>
      <c r="H35" s="5" t="s">
        <v>184</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1"/>
    </row>
    <row r="36" spans="1:49" ht="8.25" customHeight="1">
      <c r="A36" s="1">
        <v>12</v>
      </c>
      <c r="G36" s="57">
        <f t="shared" si="15"/>
        <v>12</v>
      </c>
      <c r="I36" s="21"/>
      <c r="J36" s="21"/>
      <c r="K36" s="21"/>
      <c r="L36" s="21"/>
      <c r="M36" s="21"/>
      <c r="N36" s="21"/>
      <c r="O36" s="21"/>
      <c r="P36" s="21"/>
    </row>
    <row r="37" spans="1:49">
      <c r="A37" s="1">
        <v>13</v>
      </c>
      <c r="B37" s="6" t="s">
        <v>185</v>
      </c>
      <c r="C37" s="9">
        <v>25.24753082000052</v>
      </c>
      <c r="D37" s="9">
        <v>77.826437590000168</v>
      </c>
      <c r="E37" s="67" t="s">
        <v>101</v>
      </c>
      <c r="G37" s="57">
        <f t="shared" si="15"/>
        <v>13</v>
      </c>
      <c r="H37" s="6" t="s">
        <v>185</v>
      </c>
      <c r="I37" s="18"/>
      <c r="J37" s="18"/>
      <c r="K37" s="18"/>
      <c r="L37" s="18"/>
      <c r="M37" s="18"/>
      <c r="N37" s="18"/>
      <c r="O37" s="18"/>
      <c r="P37" s="18"/>
      <c r="Q37" s="9">
        <f t="shared" ref="Q37:X37" si="23">Q35+Q33+Q28</f>
        <v>39.150300000000001</v>
      </c>
      <c r="R37" s="9">
        <f t="shared" si="23"/>
        <v>40.120200000000004</v>
      </c>
      <c r="S37" s="9">
        <f t="shared" si="23"/>
        <v>42.754200000000004</v>
      </c>
      <c r="T37" s="9">
        <f t="shared" si="23"/>
        <v>22.031700000000008</v>
      </c>
      <c r="U37" s="9">
        <f t="shared" si="23"/>
        <v>38.978700000000003</v>
      </c>
      <c r="V37" s="9">
        <f t="shared" si="23"/>
        <v>37.817700000000002</v>
      </c>
      <c r="W37" s="9">
        <f t="shared" si="23"/>
        <v>43.233699999999999</v>
      </c>
      <c r="X37" s="9">
        <f t="shared" si="23"/>
        <v>52.870699999999999</v>
      </c>
      <c r="Y37" s="9">
        <f>Y35+Y33+Y28</f>
        <v>40.570700000000002</v>
      </c>
      <c r="Z37" s="9">
        <f>Z35+Z33+Z28</f>
        <v>52.370699999999999</v>
      </c>
      <c r="AA37" s="9">
        <f>AA35+AA33+AA28</f>
        <v>46.370699999999999</v>
      </c>
      <c r="AB37" s="9">
        <f t="shared" ref="AB37:AH37" si="24">+AB28+AB33+AB35</f>
        <v>23.706199999999999</v>
      </c>
      <c r="AC37" s="9">
        <f t="shared" si="24"/>
        <v>12.970700000000004</v>
      </c>
      <c r="AD37" s="9">
        <f t="shared" si="24"/>
        <v>17.470700000000004</v>
      </c>
      <c r="AE37" s="9">
        <f t="shared" si="24"/>
        <v>13.370700000000005</v>
      </c>
      <c r="AF37" s="9">
        <f t="shared" si="24"/>
        <v>23.770700000000005</v>
      </c>
      <c r="AG37" s="9">
        <f t="shared" si="24"/>
        <v>28.670700000000004</v>
      </c>
      <c r="AH37" s="9">
        <f t="shared" si="24"/>
        <v>40.970700000000001</v>
      </c>
      <c r="AI37" s="9">
        <f>+AI28+AI33+AI35</f>
        <v>27.370700000000003</v>
      </c>
      <c r="AJ37" s="9">
        <f>+AJ28+AJ33+AJ35</f>
        <v>30.970700000000008</v>
      </c>
      <c r="AK37" s="9">
        <f t="shared" ref="AK37" si="25">+AK28+AK33+AK35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+AR28+AR33+AR35</f>
        <v>87.204437590000168</v>
      </c>
      <c r="AS37" s="9">
        <f>+AS28+AS33+AS35</f>
        <v>76.74943759000017</v>
      </c>
      <c r="AT37" s="9">
        <f>+AT28+AT33+AT35</f>
        <v>67.538437590000171</v>
      </c>
      <c r="AU37" s="9">
        <f>+AU28+AU33+AU35</f>
        <v>77.826437590000168</v>
      </c>
      <c r="AV37" s="9">
        <f>+AV28+AV33+AV35</f>
        <v>83.526437590000171</v>
      </c>
    </row>
    <row r="40" spans="1:49" ht="93.75" customHeight="1">
      <c r="B40" s="109" t="s">
        <v>187</v>
      </c>
      <c r="C40" s="113"/>
      <c r="D40" s="113"/>
      <c r="E40" s="113"/>
    </row>
  </sheetData>
  <mergeCells count="87">
    <mergeCell ref="AV6:AV7"/>
    <mergeCell ref="AV25:AV26"/>
    <mergeCell ref="AU6:AU7"/>
    <mergeCell ref="AU25:AU26"/>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J25:J26"/>
    <mergeCell ref="R6:R7"/>
    <mergeCell ref="S6:S7"/>
    <mergeCell ref="Q25:Q26"/>
    <mergeCell ref="R25:R26"/>
    <mergeCell ref="K25:K26"/>
    <mergeCell ref="L25:L26"/>
    <mergeCell ref="M25:M26"/>
    <mergeCell ref="N25:N26"/>
    <mergeCell ref="O25:O26"/>
    <mergeCell ref="N6:N7"/>
    <mergeCell ref="O6:O7"/>
    <mergeCell ref="P6:P7"/>
    <mergeCell ref="Q6:Q7"/>
    <mergeCell ref="L6:L7"/>
    <mergeCell ref="M6:M7"/>
    <mergeCell ref="V6:V7"/>
    <mergeCell ref="S25:S26"/>
    <mergeCell ref="T25:T26"/>
    <mergeCell ref="X6:X7"/>
    <mergeCell ref="X25:X26"/>
    <mergeCell ref="W6:W7"/>
    <mergeCell ref="U25:U26"/>
    <mergeCell ref="T6:T7"/>
    <mergeCell ref="U6:U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AA25:AA26"/>
    <mergeCell ref="AD25:AD26"/>
    <mergeCell ref="AE25:AE26"/>
    <mergeCell ref="AD6:AD7"/>
    <mergeCell ref="AH6:AH7"/>
    <mergeCell ref="AH25:AH26"/>
    <mergeCell ref="AS6:AS7"/>
    <mergeCell ref="AS25:AS26"/>
    <mergeCell ref="AR6:AR7"/>
    <mergeCell ref="AR25:AR26"/>
    <mergeCell ref="AM6:AM7"/>
    <mergeCell ref="AM25:AM26"/>
    <mergeCell ref="AQ6:AQ7"/>
    <mergeCell ref="AQ25:AQ26"/>
    <mergeCell ref="AP6:AP7"/>
    <mergeCell ref="AP25:AP26"/>
    <mergeCell ref="AO6:AO7"/>
    <mergeCell ref="AO25:AO26"/>
    <mergeCell ref="AI6:AI7"/>
    <mergeCell ref="AI25:AI26"/>
    <mergeCell ref="AN6:AN7"/>
    <mergeCell ref="AN25:AN26"/>
    <mergeCell ref="AJ6:AJ7"/>
    <mergeCell ref="AJ25:AJ26"/>
    <mergeCell ref="AL6:AL7"/>
    <mergeCell ref="AL25:AL26"/>
    <mergeCell ref="AK6:AK7"/>
    <mergeCell ref="AK25:AK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tabColor theme="9" tint="0.79998168889431442"/>
  </sheetPr>
  <dimension ref="A4:I46"/>
  <sheetViews>
    <sheetView topLeftCell="B1" zoomScale="50" zoomScaleNormal="50" workbookViewId="0">
      <selection activeCell="J35" sqref="J35"/>
    </sheetView>
  </sheetViews>
  <sheetFormatPr defaultColWidth="11.453125" defaultRowHeight="13.5"/>
  <cols>
    <col min="1" max="1" width="0" style="1" hidden="1" customWidth="1"/>
    <col min="2" max="2" width="40.453125" style="1" customWidth="1"/>
    <col min="3" max="3" width="11.453125" style="1" customWidth="1"/>
    <col min="4" max="4" width="14" style="1" customWidth="1"/>
    <col min="5" max="5" width="38.26953125" style="1" customWidth="1"/>
    <col min="6" max="16384" width="11.453125" style="1"/>
  </cols>
  <sheetData>
    <row r="4" spans="1:9" ht="23.5">
      <c r="B4" s="11" t="s">
        <v>0</v>
      </c>
      <c r="C4" s="12"/>
      <c r="D4" s="12"/>
      <c r="E4" s="12"/>
    </row>
    <row r="5" spans="1:9" ht="7.5" customHeight="1"/>
    <row r="6" spans="1:9" ht="15.75" customHeight="1">
      <c r="A6" s="1">
        <v>1</v>
      </c>
      <c r="B6" s="3" t="s">
        <v>1</v>
      </c>
      <c r="C6" s="108" t="s">
        <v>2</v>
      </c>
      <c r="D6" s="108" t="s">
        <v>3</v>
      </c>
      <c r="E6" s="108" t="s">
        <v>4</v>
      </c>
    </row>
    <row r="7" spans="1:9">
      <c r="A7" s="1">
        <v>2</v>
      </c>
      <c r="B7" s="3"/>
      <c r="C7" s="108"/>
      <c r="D7" s="108"/>
      <c r="E7" s="108"/>
      <c r="H7" s="90"/>
    </row>
    <row r="8" spans="1:9" ht="4.5" customHeight="1">
      <c r="A8" s="1">
        <v>3</v>
      </c>
    </row>
    <row r="9" spans="1:9">
      <c r="A9" s="1">
        <v>4</v>
      </c>
      <c r="B9" s="88" t="s">
        <v>5</v>
      </c>
      <c r="C9" s="55">
        <v>210.3</v>
      </c>
      <c r="D9" s="13" t="s">
        <v>6</v>
      </c>
      <c r="E9" s="13" t="s">
        <v>7</v>
      </c>
      <c r="H9" s="90"/>
      <c r="I9" s="95"/>
    </row>
    <row r="10" spans="1:9">
      <c r="A10" s="1">
        <v>5</v>
      </c>
      <c r="B10" s="88" t="s">
        <v>8</v>
      </c>
      <c r="C10" s="55">
        <v>10</v>
      </c>
      <c r="D10" s="13" t="s">
        <v>6</v>
      </c>
      <c r="E10" s="13" t="s">
        <v>7</v>
      </c>
      <c r="H10" s="90"/>
      <c r="I10" s="95"/>
    </row>
    <row r="11" spans="1:9" ht="15.75" customHeight="1">
      <c r="A11" s="1">
        <v>6</v>
      </c>
      <c r="B11" s="88" t="s">
        <v>9</v>
      </c>
      <c r="C11" s="55">
        <v>661.8</v>
      </c>
      <c r="D11" s="13" t="s">
        <v>6</v>
      </c>
      <c r="E11" s="13" t="s">
        <v>10</v>
      </c>
      <c r="I11" s="95"/>
    </row>
    <row r="12" spans="1:9">
      <c r="A12" s="1">
        <v>7</v>
      </c>
      <c r="B12" s="88" t="s">
        <v>11</v>
      </c>
      <c r="C12" s="55">
        <v>249.2</v>
      </c>
      <c r="D12" s="13" t="s">
        <v>6</v>
      </c>
      <c r="E12" s="13" t="s">
        <v>7</v>
      </c>
      <c r="H12" s="90"/>
      <c r="I12" s="95"/>
    </row>
    <row r="13" spans="1:9" ht="15.75" customHeight="1">
      <c r="A13" s="1">
        <v>8</v>
      </c>
      <c r="B13" s="88" t="s">
        <v>12</v>
      </c>
      <c r="C13" s="55">
        <v>323.8</v>
      </c>
      <c r="D13" s="13" t="s">
        <v>6</v>
      </c>
      <c r="E13" s="13" t="s">
        <v>10</v>
      </c>
      <c r="H13" s="90"/>
      <c r="I13" s="95"/>
    </row>
    <row r="14" spans="1:9">
      <c r="A14" s="1">
        <v>9</v>
      </c>
      <c r="B14" s="88" t="s">
        <v>13</v>
      </c>
      <c r="C14" s="55">
        <v>172</v>
      </c>
      <c r="D14" s="13" t="s">
        <v>6</v>
      </c>
      <c r="E14" s="13" t="s">
        <v>14</v>
      </c>
    </row>
    <row r="15" spans="1:9">
      <c r="A15" s="1">
        <v>10</v>
      </c>
      <c r="B15" s="6" t="s">
        <v>15</v>
      </c>
      <c r="C15" s="85">
        <f>SUM(C8:C14)</f>
        <v>1627.1</v>
      </c>
      <c r="D15" s="85"/>
      <c r="E15" s="6"/>
    </row>
    <row r="16" spans="1:9">
      <c r="A16" s="1">
        <v>11</v>
      </c>
      <c r="B16" s="88" t="s">
        <v>16</v>
      </c>
      <c r="C16" s="55">
        <v>9</v>
      </c>
      <c r="D16" s="13" t="s">
        <v>17</v>
      </c>
      <c r="E16" s="13" t="s">
        <v>10</v>
      </c>
    </row>
    <row r="17" spans="1:7" ht="15" customHeight="1">
      <c r="A17" s="1">
        <v>12</v>
      </c>
      <c r="B17" s="88" t="s">
        <v>18</v>
      </c>
      <c r="C17" s="55">
        <v>9</v>
      </c>
      <c r="D17" s="13" t="s">
        <v>17</v>
      </c>
      <c r="E17" s="13" t="s">
        <v>10</v>
      </c>
    </row>
    <row r="18" spans="1:7">
      <c r="A18" s="1">
        <v>13</v>
      </c>
      <c r="B18" s="88" t="s">
        <v>19</v>
      </c>
      <c r="C18" s="55">
        <v>230</v>
      </c>
      <c r="D18" s="13" t="s">
        <v>17</v>
      </c>
      <c r="E18" s="13" t="s">
        <v>20</v>
      </c>
    </row>
    <row r="19" spans="1:7">
      <c r="B19" s="6" t="s">
        <v>21</v>
      </c>
      <c r="C19" s="85">
        <f>SUM(C16:C18)</f>
        <v>248</v>
      </c>
      <c r="D19" s="6"/>
      <c r="E19" s="6"/>
    </row>
    <row r="20" spans="1:7">
      <c r="B20" s="88" t="s">
        <v>22</v>
      </c>
      <c r="C20" s="55">
        <v>335.7</v>
      </c>
      <c r="D20" s="13" t="s">
        <v>23</v>
      </c>
      <c r="E20" s="13" t="s">
        <v>24</v>
      </c>
    </row>
    <row r="21" spans="1:7">
      <c r="B21" s="88" t="s">
        <v>25</v>
      </c>
      <c r="C21" s="55">
        <v>411.2</v>
      </c>
      <c r="D21" s="13" t="s">
        <v>23</v>
      </c>
      <c r="E21" s="13" t="s">
        <v>24</v>
      </c>
    </row>
    <row r="22" spans="1:7">
      <c r="B22" s="88" t="s">
        <v>26</v>
      </c>
      <c r="C22" s="55">
        <v>108</v>
      </c>
      <c r="D22" s="13" t="s">
        <v>27</v>
      </c>
      <c r="E22" s="13" t="s">
        <v>24</v>
      </c>
    </row>
    <row r="23" spans="1:7">
      <c r="B23" s="88" t="s">
        <v>28</v>
      </c>
      <c r="C23" s="55">
        <v>249.7</v>
      </c>
      <c r="D23" s="13" t="s">
        <v>27</v>
      </c>
      <c r="E23" s="13" t="s">
        <v>29</v>
      </c>
    </row>
    <row r="24" spans="1:7">
      <c r="B24" s="88" t="s">
        <v>30</v>
      </c>
      <c r="C24" s="55">
        <v>107.7</v>
      </c>
      <c r="D24" s="13" t="s">
        <v>31</v>
      </c>
      <c r="E24" s="13" t="s">
        <v>32</v>
      </c>
    </row>
    <row r="25" spans="1:7">
      <c r="B25" s="88" t="s">
        <v>33</v>
      </c>
      <c r="C25" s="55">
        <v>374</v>
      </c>
      <c r="D25" s="13" t="s">
        <v>34</v>
      </c>
      <c r="E25" s="13" t="s">
        <v>32</v>
      </c>
    </row>
    <row r="26" spans="1:7">
      <c r="B26" s="6" t="s">
        <v>35</v>
      </c>
      <c r="C26" s="85">
        <f>SUM(C20:C25)</f>
        <v>1586.3</v>
      </c>
      <c r="D26" s="85"/>
      <c r="E26" s="85"/>
      <c r="F26" s="105"/>
    </row>
    <row r="27" spans="1:7">
      <c r="B27" s="86" t="s">
        <v>36</v>
      </c>
      <c r="C27" s="87">
        <f>C15+C19+C26</f>
        <v>3461.3999999999996</v>
      </c>
      <c r="D27" s="87"/>
      <c r="E27" s="86"/>
      <c r="G27" s="90"/>
    </row>
    <row r="29" spans="1:7" ht="23.5">
      <c r="B29" s="11" t="s">
        <v>37</v>
      </c>
      <c r="C29" s="12"/>
      <c r="D29" s="12"/>
      <c r="E29" s="12"/>
      <c r="F29" s="90"/>
    </row>
    <row r="30" spans="1:7" ht="7.5" customHeight="1"/>
    <row r="31" spans="1:7">
      <c r="A31" s="1">
        <v>1</v>
      </c>
      <c r="B31" s="3" t="s">
        <v>1</v>
      </c>
      <c r="C31" s="108" t="s">
        <v>2</v>
      </c>
      <c r="D31" s="108" t="s">
        <v>3</v>
      </c>
      <c r="E31" s="108" t="s">
        <v>4</v>
      </c>
    </row>
    <row r="32" spans="1:7">
      <c r="A32" s="1">
        <v>2</v>
      </c>
      <c r="B32" s="3"/>
      <c r="C32" s="108"/>
      <c r="D32" s="108"/>
      <c r="E32" s="108"/>
    </row>
    <row r="33" spans="1:6" ht="4.5" customHeight="1">
      <c r="A33" s="1">
        <v>3</v>
      </c>
    </row>
    <row r="34" spans="1:6">
      <c r="A34" s="1">
        <v>4</v>
      </c>
      <c r="B34" s="5" t="s">
        <v>38</v>
      </c>
      <c r="C34" s="55">
        <v>573</v>
      </c>
      <c r="D34" s="13" t="s">
        <v>23</v>
      </c>
      <c r="E34" s="13" t="s">
        <v>39</v>
      </c>
      <c r="F34" s="52"/>
    </row>
    <row r="35" spans="1:6">
      <c r="A35" s="1">
        <v>5</v>
      </c>
      <c r="B35" s="6" t="s">
        <v>35</v>
      </c>
      <c r="C35" s="85">
        <f>SUM(C29:C34)</f>
        <v>573</v>
      </c>
      <c r="D35" s="6"/>
      <c r="E35" s="6"/>
      <c r="F35" s="52"/>
    </row>
    <row r="36" spans="1:6" ht="19.5" customHeight="1">
      <c r="A36" s="1">
        <v>6</v>
      </c>
      <c r="B36" s="86" t="s">
        <v>40</v>
      </c>
      <c r="C36" s="87">
        <f>C35</f>
        <v>573</v>
      </c>
      <c r="D36" s="86"/>
      <c r="E36" s="86"/>
    </row>
    <row r="38" spans="1:6">
      <c r="B38" s="3" t="s">
        <v>41</v>
      </c>
      <c r="C38" s="107">
        <f>C27+C36</f>
        <v>4034.3999999999996</v>
      </c>
      <c r="D38" s="107"/>
      <c r="E38" s="107"/>
    </row>
    <row r="39" spans="1:6">
      <c r="B39" s="3"/>
      <c r="C39" s="108"/>
      <c r="D39" s="108"/>
      <c r="E39" s="108"/>
    </row>
    <row r="40" spans="1:6">
      <c r="C40" s="52"/>
      <c r="D40" s="52"/>
      <c r="E40" s="52"/>
    </row>
    <row r="41" spans="1:6">
      <c r="C41" s="52"/>
      <c r="D41" s="52"/>
      <c r="E41" s="52"/>
    </row>
    <row r="42" spans="1:6">
      <c r="C42" s="52"/>
      <c r="D42" s="52"/>
      <c r="E42" s="52"/>
    </row>
    <row r="43" spans="1:6">
      <c r="C43" s="52"/>
      <c r="D43" s="52"/>
      <c r="E43" s="52"/>
    </row>
    <row r="44" spans="1:6">
      <c r="C44" s="52"/>
      <c r="D44" s="52"/>
      <c r="E44" s="52"/>
    </row>
    <row r="45" spans="1:6">
      <c r="C45" s="52"/>
      <c r="D45" s="52"/>
      <c r="E45" s="52"/>
    </row>
    <row r="46" spans="1:6">
      <c r="C46" s="52"/>
      <c r="D46" s="52"/>
      <c r="E46" s="52"/>
    </row>
  </sheetData>
  <mergeCells count="9">
    <mergeCell ref="C38:C39"/>
    <mergeCell ref="D38:D39"/>
    <mergeCell ref="E38:E39"/>
    <mergeCell ref="D6:D7"/>
    <mergeCell ref="E6:E7"/>
    <mergeCell ref="C6:C7"/>
    <mergeCell ref="D31:D32"/>
    <mergeCell ref="E31:E32"/>
    <mergeCell ref="C31:C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4:BE54"/>
  <sheetViews>
    <sheetView topLeftCell="B9" zoomScale="84" zoomScaleNormal="84" workbookViewId="0">
      <selection activeCell="F21" sqref="F21"/>
    </sheetView>
  </sheetViews>
  <sheetFormatPr defaultColWidth="11.453125" defaultRowHeight="13.5"/>
  <cols>
    <col min="1" max="1" width="7.26953125" style="1" hidden="1" customWidth="1"/>
    <col min="2" max="2" width="40" style="1" bestFit="1" customWidth="1"/>
    <col min="3" max="6" width="11.453125" style="1"/>
    <col min="7" max="7" width="11.453125" style="57" customWidth="1"/>
    <col min="8" max="8" width="37.453125" style="1" customWidth="1"/>
    <col min="9" max="43" width="11.453125" style="1" hidden="1" customWidth="1"/>
    <col min="44" max="46" width="11.453125" style="1" customWidth="1"/>
    <col min="47" max="16384" width="11.453125" style="1"/>
  </cols>
  <sheetData>
    <row r="4" spans="1:48"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6" spans="1:48">
      <c r="A6" s="1">
        <v>1</v>
      </c>
      <c r="B6" s="3" t="s">
        <v>42</v>
      </c>
      <c r="C6" s="108" t="s">
        <v>43</v>
      </c>
      <c r="D6" s="108" t="s">
        <v>44</v>
      </c>
      <c r="E6" s="108" t="s">
        <v>45</v>
      </c>
      <c r="G6" s="57">
        <v>1</v>
      </c>
      <c r="H6" s="3" t="s">
        <v>46</v>
      </c>
      <c r="I6" s="108" t="s">
        <v>47</v>
      </c>
      <c r="J6" s="108" t="s">
        <v>48</v>
      </c>
      <c r="K6" s="108" t="s">
        <v>49</v>
      </c>
      <c r="L6" s="108" t="s">
        <v>50</v>
      </c>
      <c r="M6" s="108" t="s">
        <v>51</v>
      </c>
      <c r="N6" s="108" t="s">
        <v>52</v>
      </c>
      <c r="O6" s="108" t="s">
        <v>53</v>
      </c>
      <c r="P6" s="108" t="s">
        <v>54</v>
      </c>
      <c r="Q6" s="108" t="s">
        <v>55</v>
      </c>
      <c r="R6" s="108" t="s">
        <v>56</v>
      </c>
      <c r="S6" s="108" t="s">
        <v>57</v>
      </c>
      <c r="T6" s="108" t="s">
        <v>58</v>
      </c>
      <c r="U6" s="108" t="s">
        <v>59</v>
      </c>
      <c r="V6" s="108" t="s">
        <v>60</v>
      </c>
      <c r="W6" s="108" t="s">
        <v>61</v>
      </c>
      <c r="X6" s="108" t="s">
        <v>62</v>
      </c>
      <c r="Y6" s="108" t="s">
        <v>63</v>
      </c>
      <c r="Z6" s="108" t="s">
        <v>64</v>
      </c>
      <c r="AA6" s="108" t="s">
        <v>65</v>
      </c>
      <c r="AB6" s="108" t="s">
        <v>66</v>
      </c>
      <c r="AC6" s="108" t="s">
        <v>67</v>
      </c>
      <c r="AD6" s="108" t="s">
        <v>68</v>
      </c>
      <c r="AE6" s="108" t="s">
        <v>69</v>
      </c>
      <c r="AF6" s="108" t="s">
        <v>70</v>
      </c>
      <c r="AG6" s="108" t="s">
        <v>71</v>
      </c>
      <c r="AH6" s="108" t="s">
        <v>72</v>
      </c>
      <c r="AI6" s="108" t="s">
        <v>73</v>
      </c>
      <c r="AJ6" s="108" t="s">
        <v>74</v>
      </c>
      <c r="AK6" s="108" t="s">
        <v>75</v>
      </c>
      <c r="AL6" s="108" t="s">
        <v>76</v>
      </c>
      <c r="AM6" s="108" t="s">
        <v>77</v>
      </c>
      <c r="AN6" s="108" t="s">
        <v>78</v>
      </c>
      <c r="AO6" s="108" t="s">
        <v>79</v>
      </c>
      <c r="AP6" s="108" t="s">
        <v>80</v>
      </c>
      <c r="AQ6" s="108" t="s">
        <v>81</v>
      </c>
      <c r="AR6" s="108" t="s">
        <v>43</v>
      </c>
      <c r="AS6" s="108" t="s">
        <v>82</v>
      </c>
      <c r="AT6" s="108" t="s">
        <v>83</v>
      </c>
      <c r="AU6" s="108" t="s">
        <v>84</v>
      </c>
      <c r="AV6" s="108" t="s">
        <v>44</v>
      </c>
    </row>
    <row r="7" spans="1:48">
      <c r="A7" s="1">
        <f>+A6+1</f>
        <v>2</v>
      </c>
      <c r="B7" s="3" t="s">
        <v>85</v>
      </c>
      <c r="C7" s="108"/>
      <c r="D7" s="108"/>
      <c r="E7" s="108"/>
      <c r="G7" s="57">
        <f>G6+1</f>
        <v>2</v>
      </c>
      <c r="H7" s="3" t="s">
        <v>85</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row>
    <row r="8" spans="1:48">
      <c r="A8" s="1">
        <f t="shared" ref="A8:A29" si="0">+A7+1</f>
        <v>3</v>
      </c>
      <c r="E8" s="56"/>
      <c r="G8" s="57">
        <f t="shared" ref="G8:G29" si="1">G7+1</f>
        <v>3</v>
      </c>
    </row>
    <row r="9" spans="1:48">
      <c r="A9" s="1">
        <f t="shared" si="0"/>
        <v>4</v>
      </c>
      <c r="B9" s="6" t="s">
        <v>86</v>
      </c>
      <c r="C9" s="73">
        <f>+SUM(C11:C13)</f>
        <v>3382.8923532927879</v>
      </c>
      <c r="D9" s="73">
        <f t="shared" ref="D9" si="2">+SUM(D11:D13)</f>
        <v>2945.9252992253309</v>
      </c>
      <c r="E9" s="67">
        <f>D9/C9-1</f>
        <v>-0.12916965969730865</v>
      </c>
      <c r="G9" s="57">
        <f t="shared" si="1"/>
        <v>4</v>
      </c>
      <c r="H9" s="6" t="s">
        <v>86</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3">
        <f>+SUM(AQ11:AQ13)</f>
        <v>3211.2314003461747</v>
      </c>
      <c r="AR9" s="73">
        <f>+SUM(AR11:AR13)</f>
        <v>3382.8923532927879</v>
      </c>
      <c r="AS9" s="73">
        <f t="shared" ref="AS9:AV9" si="7">+SUM(AS11:AS13)</f>
        <v>3362.9314742877596</v>
      </c>
      <c r="AT9" s="73">
        <f t="shared" si="7"/>
        <v>3441.900620641658</v>
      </c>
      <c r="AU9" s="73">
        <f t="shared" si="7"/>
        <v>3223.210721393848</v>
      </c>
      <c r="AV9" s="73">
        <f t="shared" si="7"/>
        <v>2945.9252992253309</v>
      </c>
    </row>
    <row r="10" spans="1:48" ht="5.25" customHeight="1">
      <c r="A10" s="1">
        <f t="shared" si="0"/>
        <v>5</v>
      </c>
      <c r="E10" s="81"/>
      <c r="G10" s="57">
        <f t="shared" si="1"/>
        <v>5</v>
      </c>
    </row>
    <row r="11" spans="1:48">
      <c r="A11" s="1">
        <f t="shared" si="0"/>
        <v>6</v>
      </c>
      <c r="B11" s="5" t="s">
        <v>87</v>
      </c>
      <c r="C11" s="24">
        <f>HLOOKUP($C$6,$H$6:$BE$29,$G11,FALSE)</f>
        <v>580.798226</v>
      </c>
      <c r="D11" s="24">
        <f>HLOOKUP($D$6,$H$6:$BE$29,$G11,FALSE)</f>
        <v>608.15510398702861</v>
      </c>
      <c r="E11" s="48">
        <f>+D11/C11-1</f>
        <v>4.7102206519185508E-2</v>
      </c>
      <c r="G11" s="57">
        <f t="shared" si="1"/>
        <v>6</v>
      </c>
      <c r="H11" s="5" t="s">
        <v>87</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row>
    <row r="12" spans="1:48">
      <c r="A12" s="1">
        <f t="shared" si="0"/>
        <v>7</v>
      </c>
      <c r="B12" s="5" t="s">
        <v>88</v>
      </c>
      <c r="C12" s="24">
        <f t="shared" ref="C12:C29" si="8">HLOOKUP($C$6,$H$6:$BE$29,$G12,FALSE)</f>
        <v>2353.6511074476302</v>
      </c>
      <c r="D12" s="24">
        <f t="shared" ref="D12:D29" si="9">HLOOKUP($D$6,$H$6:$BE$29,$G12,FALSE)</f>
        <v>2302.6114499313521</v>
      </c>
      <c r="E12" s="48">
        <f t="shared" ref="E12:E13" si="10">+D12/C12-1</f>
        <v>-2.168531153779496E-2</v>
      </c>
      <c r="G12" s="57">
        <f t="shared" si="1"/>
        <v>7</v>
      </c>
      <c r="H12" s="5" t="s">
        <v>88</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row>
    <row r="13" spans="1:48">
      <c r="A13" s="1">
        <f t="shared" si="0"/>
        <v>8</v>
      </c>
      <c r="B13" s="5" t="s">
        <v>89</v>
      </c>
      <c r="C13" s="58">
        <f t="shared" si="8"/>
        <v>448.44301984515789</v>
      </c>
      <c r="D13" s="58">
        <f t="shared" si="9"/>
        <v>35.158745306949982</v>
      </c>
      <c r="E13" s="48">
        <f t="shared" si="10"/>
        <v>-0.92159818806168536</v>
      </c>
      <c r="G13" s="57">
        <f t="shared" si="1"/>
        <v>8</v>
      </c>
      <c r="H13" s="5" t="s">
        <v>89</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8">
        <v>0</v>
      </c>
      <c r="AG13" s="58">
        <v>399.97817196043991</v>
      </c>
      <c r="AH13" s="58">
        <v>500.52412506537814</v>
      </c>
      <c r="AI13" s="58">
        <v>789.41849508749317</v>
      </c>
      <c r="AJ13" s="58">
        <v>35.209573908457287</v>
      </c>
      <c r="AK13" s="58">
        <v>87.296860983128909</v>
      </c>
      <c r="AL13" s="58">
        <v>621.59086649847029</v>
      </c>
      <c r="AM13" s="58">
        <v>253.63679747067806</v>
      </c>
      <c r="AN13" s="58">
        <v>179.794145812848</v>
      </c>
      <c r="AO13" s="58">
        <v>240</v>
      </c>
      <c r="AP13" s="24">
        <v>535</v>
      </c>
      <c r="AQ13" s="58">
        <v>230.51842516097702</v>
      </c>
      <c r="AR13" s="58">
        <v>448.44301984515789</v>
      </c>
      <c r="AS13" s="58">
        <v>304.45764578247338</v>
      </c>
      <c r="AT13" s="58">
        <v>460.25699149522723</v>
      </c>
      <c r="AU13" s="58">
        <v>249.75240306943329</v>
      </c>
      <c r="AV13" s="58">
        <v>35.158745306949982</v>
      </c>
    </row>
    <row r="14" spans="1:48" ht="5.25" customHeight="1">
      <c r="A14" s="1">
        <f t="shared" si="0"/>
        <v>9</v>
      </c>
      <c r="E14" s="81"/>
      <c r="G14" s="57">
        <f t="shared" si="1"/>
        <v>9</v>
      </c>
    </row>
    <row r="15" spans="1:48">
      <c r="A15" s="1">
        <f t="shared" si="0"/>
        <v>10</v>
      </c>
      <c r="B15" s="5" t="s">
        <v>90</v>
      </c>
      <c r="C15" s="24">
        <f t="shared" si="8"/>
        <v>1550.5775907120942</v>
      </c>
      <c r="D15" s="24">
        <f t="shared" si="9"/>
        <v>1625.9696393333334</v>
      </c>
      <c r="E15" s="48">
        <f>+D15/C15-1</f>
        <v>4.8621912939303957E-2</v>
      </c>
      <c r="G15" s="57">
        <f t="shared" si="1"/>
        <v>10</v>
      </c>
      <c r="H15" s="5" t="s">
        <v>90</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row>
    <row r="16" spans="1:48" ht="10.5" customHeight="1">
      <c r="A16" s="1">
        <f t="shared" si="0"/>
        <v>11</v>
      </c>
      <c r="E16" s="81"/>
      <c r="G16" s="57">
        <f t="shared" si="1"/>
        <v>11</v>
      </c>
    </row>
    <row r="17" spans="1:57">
      <c r="A17" s="1">
        <f t="shared" si="0"/>
        <v>12</v>
      </c>
      <c r="B17" s="6" t="s">
        <v>91</v>
      </c>
      <c r="C17" s="23">
        <f t="shared" si="8"/>
        <v>3451.635545530441</v>
      </c>
      <c r="D17" s="23">
        <f t="shared" si="9"/>
        <v>2779.3657215288804</v>
      </c>
      <c r="E17" s="67">
        <f>D17/C17-1</f>
        <v>-0.19476848442822703</v>
      </c>
      <c r="G17" s="57">
        <f t="shared" si="1"/>
        <v>12</v>
      </c>
      <c r="H17" s="6" t="s">
        <v>91</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+AV19+AV20+AV24</f>
        <v>2779.3657215288804</v>
      </c>
      <c r="AZ17" s="25"/>
      <c r="BA17" s="25"/>
      <c r="BB17" s="25"/>
      <c r="BC17" s="25"/>
      <c r="BD17" s="25"/>
      <c r="BE17" s="70"/>
    </row>
    <row r="18" spans="1:57" ht="5.25" customHeight="1">
      <c r="A18" s="1">
        <f t="shared" si="0"/>
        <v>13</v>
      </c>
      <c r="E18" s="81"/>
      <c r="G18" s="57">
        <f t="shared" si="1"/>
        <v>13</v>
      </c>
    </row>
    <row r="19" spans="1:57">
      <c r="A19" s="1">
        <f t="shared" si="0"/>
        <v>14</v>
      </c>
      <c r="B19" s="27" t="s">
        <v>92</v>
      </c>
      <c r="C19" s="28">
        <f t="shared" si="8"/>
        <v>1703.0052000000001</v>
      </c>
      <c r="D19" s="28">
        <f t="shared" si="9"/>
        <v>2349.1103000000003</v>
      </c>
      <c r="E19" s="103">
        <f>+D19/C19-1</f>
        <v>0.37939114924605066</v>
      </c>
      <c r="G19" s="57">
        <f t="shared" si="1"/>
        <v>14</v>
      </c>
      <c r="H19" s="27" t="s">
        <v>92</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row>
    <row r="20" spans="1:57">
      <c r="A20" s="1">
        <f t="shared" si="0"/>
        <v>15</v>
      </c>
      <c r="B20" s="27" t="s">
        <v>93</v>
      </c>
      <c r="C20" s="28">
        <f t="shared" si="8"/>
        <v>1550.095</v>
      </c>
      <c r="D20" s="28">
        <f t="shared" si="9"/>
        <v>237.23599999999999</v>
      </c>
      <c r="E20" s="103">
        <f>+D20/C20-1</f>
        <v>-0.84695389637409324</v>
      </c>
      <c r="G20" s="57">
        <f t="shared" si="1"/>
        <v>15</v>
      </c>
      <c r="H20" s="27" t="s">
        <v>93</v>
      </c>
      <c r="I20" s="28">
        <f>SUM(I21:I23)</f>
        <v>2159.134</v>
      </c>
      <c r="J20" s="28">
        <f t="shared" ref="J20:Y20" si="14">SUM(J21:J23)</f>
        <v>1878.0659999999998</v>
      </c>
      <c r="K20" s="28">
        <f t="shared" si="14"/>
        <v>1424</v>
      </c>
      <c r="L20" s="28">
        <f t="shared" si="14"/>
        <v>719.053</v>
      </c>
      <c r="M20" s="28">
        <f t="shared" si="14"/>
        <v>2079.7550000000001</v>
      </c>
      <c r="N20" s="28">
        <f t="shared" si="14"/>
        <v>2003.309</v>
      </c>
      <c r="O20" s="28">
        <f t="shared" si="14"/>
        <v>1519.4349999999999</v>
      </c>
      <c r="P20" s="28">
        <f t="shared" si="14"/>
        <v>467.988</v>
      </c>
      <c r="Q20" s="28">
        <f t="shared" si="14"/>
        <v>1915.18</v>
      </c>
      <c r="R20" s="28">
        <f t="shared" si="14"/>
        <v>1956.502</v>
      </c>
      <c r="S20" s="28">
        <f t="shared" si="14"/>
        <v>1396</v>
      </c>
      <c r="T20" s="28">
        <f t="shared" si="14"/>
        <v>1146.3820000000001</v>
      </c>
      <c r="U20" s="28">
        <f t="shared" si="14"/>
        <v>2080.1379999999999</v>
      </c>
      <c r="V20" s="28">
        <f t="shared" si="14"/>
        <v>2109.0740000000001</v>
      </c>
      <c r="W20" s="28">
        <f t="shared" si="14"/>
        <v>1625.5</v>
      </c>
      <c r="X20" s="28">
        <f t="shared" si="14"/>
        <v>887.74</v>
      </c>
      <c r="Y20" s="28">
        <f t="shared" si="14"/>
        <v>2019.9259999999999</v>
      </c>
      <c r="Z20" s="28">
        <f t="shared" ref="Z20:AE20" si="15">SUM(Z21:Z23)</f>
        <v>2052.0571999999997</v>
      </c>
      <c r="AA20" s="28">
        <f t="shared" si="15"/>
        <v>1640.9929999999999</v>
      </c>
      <c r="AB20" s="28">
        <f t="shared" si="15"/>
        <v>844.64</v>
      </c>
      <c r="AC20" s="28">
        <f t="shared" si="15"/>
        <v>2113.667219685</v>
      </c>
      <c r="AD20" s="28">
        <f t="shared" si="15"/>
        <v>1902.7019399999999</v>
      </c>
      <c r="AE20" s="28">
        <f t="shared" si="15"/>
        <v>1164.2910000000002</v>
      </c>
      <c r="AF20" s="28">
        <f t="shared" ref="AF20:AL20" si="16">SUM(AF21:AF23)</f>
        <v>1327.2567999999999</v>
      </c>
      <c r="AG20" s="28">
        <f t="shared" si="16"/>
        <v>1838.4737999999998</v>
      </c>
      <c r="AH20" s="28">
        <f t="shared" si="16"/>
        <v>2108.0429999999997</v>
      </c>
      <c r="AI20" s="28">
        <f t="shared" si="16"/>
        <v>1977.8985600000001</v>
      </c>
      <c r="AJ20" s="28">
        <f t="shared" si="16"/>
        <v>450.48900000000003</v>
      </c>
      <c r="AK20" s="28">
        <f t="shared" si="16"/>
        <v>1512.6569999999999</v>
      </c>
      <c r="AL20" s="28">
        <f t="shared" si="16"/>
        <v>1997.664</v>
      </c>
      <c r="AM20" s="28">
        <f>SUM(AM21:AM23)</f>
        <v>1861.0379999999996</v>
      </c>
      <c r="AN20" s="28">
        <f>SUM(AN21:AN23)</f>
        <v>1409.5749999999998</v>
      </c>
      <c r="AO20" s="28">
        <f t="shared" ref="AO20:AP20" si="17">SUM(AO21:AO23)</f>
        <v>2194.5060000000003</v>
      </c>
      <c r="AP20" s="28">
        <f t="shared" si="17"/>
        <v>2370.7759999999998</v>
      </c>
      <c r="AQ20" s="28">
        <v>1420.4859999999999</v>
      </c>
      <c r="AR20" s="28">
        <f>+SUM(AR21:AR23)</f>
        <v>1550.095</v>
      </c>
      <c r="AS20" s="28">
        <v>2274.0099999999998</v>
      </c>
      <c r="AT20" s="28">
        <v>2204</v>
      </c>
      <c r="AU20" s="28">
        <f t="shared" ref="AU20" si="18">SUM(AU21:AU23)</f>
        <v>655.7940000000001</v>
      </c>
      <c r="AV20" s="28">
        <v>237.23599999999999</v>
      </c>
    </row>
    <row r="21" spans="1:57">
      <c r="A21" s="1">
        <f t="shared" si="0"/>
        <v>16</v>
      </c>
      <c r="B21" s="5" t="s">
        <v>94</v>
      </c>
      <c r="C21" s="24">
        <f t="shared" si="8"/>
        <v>1195.625</v>
      </c>
      <c r="D21" s="24">
        <f t="shared" si="9"/>
        <v>148.13200000000001</v>
      </c>
      <c r="E21" s="48">
        <f>+D21/C21-1</f>
        <v>-0.87610496602195509</v>
      </c>
      <c r="G21" s="57">
        <f t="shared" si="1"/>
        <v>16</v>
      </c>
      <c r="H21" s="5" t="s">
        <v>94</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row>
    <row r="22" spans="1:57">
      <c r="A22" s="1">
        <f t="shared" si="0"/>
        <v>17</v>
      </c>
      <c r="B22" s="5" t="s">
        <v>95</v>
      </c>
      <c r="C22" s="24">
        <f t="shared" si="8"/>
        <v>10.247</v>
      </c>
      <c r="D22" s="24">
        <f t="shared" si="9"/>
        <v>2.0099999999999998</v>
      </c>
      <c r="E22" s="48">
        <f t="shared" ref="E22:E29" si="19">+D22/C22-1</f>
        <v>-0.80384502781301848</v>
      </c>
      <c r="G22" s="57">
        <f t="shared" si="1"/>
        <v>17</v>
      </c>
      <c r="H22" s="5" t="s">
        <v>95</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row>
    <row r="23" spans="1:57">
      <c r="A23" s="1">
        <f t="shared" si="0"/>
        <v>18</v>
      </c>
      <c r="B23" s="5" t="s">
        <v>96</v>
      </c>
      <c r="C23" s="24">
        <f t="shared" si="8"/>
        <v>344.22300000000001</v>
      </c>
      <c r="D23" s="24">
        <f t="shared" si="9"/>
        <v>87.093999999999994</v>
      </c>
      <c r="E23" s="48">
        <f t="shared" si="19"/>
        <v>-0.74698378667317411</v>
      </c>
      <c r="G23" s="57">
        <f t="shared" si="1"/>
        <v>18</v>
      </c>
      <c r="H23" s="5" t="s">
        <v>96</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row>
    <row r="24" spans="1:57">
      <c r="A24" s="1">
        <f t="shared" si="0"/>
        <v>19</v>
      </c>
      <c r="B24" s="27" t="s">
        <v>192</v>
      </c>
      <c r="C24" s="28">
        <f t="shared" si="8"/>
        <v>198.53534553044113</v>
      </c>
      <c r="D24" s="28">
        <f t="shared" si="9"/>
        <v>193.01942152888</v>
      </c>
      <c r="E24" s="103">
        <f t="shared" si="19"/>
        <v>-2.7783083091949434E-2</v>
      </c>
      <c r="G24" s="57">
        <f t="shared" si="1"/>
        <v>19</v>
      </c>
      <c r="H24" s="27" t="s">
        <v>192</v>
      </c>
      <c r="I24" s="30">
        <f>SUM(I25:I26)</f>
        <v>0</v>
      </c>
      <c r="J24" s="30">
        <f t="shared" ref="J24:Y24" si="20">SUM(J25:J26)</f>
        <v>0</v>
      </c>
      <c r="K24" s="30">
        <f t="shared" si="20"/>
        <v>0</v>
      </c>
      <c r="L24" s="28">
        <f t="shared" si="20"/>
        <v>27</v>
      </c>
      <c r="M24" s="28">
        <f t="shared" si="20"/>
        <v>17.866000000000003</v>
      </c>
      <c r="N24" s="28">
        <f t="shared" si="20"/>
        <v>27.525100000000002</v>
      </c>
      <c r="O24" s="28">
        <f t="shared" si="20"/>
        <v>27.0913</v>
      </c>
      <c r="P24" s="28">
        <f t="shared" si="20"/>
        <v>38.855344280000011</v>
      </c>
      <c r="Q24" s="28">
        <f t="shared" si="20"/>
        <v>18.837700000000002</v>
      </c>
      <c r="R24" s="28">
        <f t="shared" si="20"/>
        <v>18.474769999999999</v>
      </c>
      <c r="S24" s="28">
        <f t="shared" si="20"/>
        <v>28</v>
      </c>
      <c r="T24" s="28">
        <f t="shared" si="20"/>
        <v>29.851632112000004</v>
      </c>
      <c r="U24" s="28">
        <f t="shared" si="20"/>
        <v>21.848003753000004</v>
      </c>
      <c r="V24" s="28">
        <f t="shared" si="20"/>
        <v>29.300611658000001</v>
      </c>
      <c r="W24" s="28">
        <f t="shared" si="20"/>
        <v>29.4</v>
      </c>
      <c r="X24" s="28">
        <f t="shared" si="20"/>
        <v>35.836244550000004</v>
      </c>
      <c r="Y24" s="28">
        <f t="shared" si="20"/>
        <v>26.215077972368299</v>
      </c>
      <c r="Z24" s="28">
        <f t="shared" ref="Z24" si="21">SUM(Z25:Z26)</f>
        <v>29.41226087674421</v>
      </c>
      <c r="AA24" s="28">
        <f t="shared" ref="AA24:AJ24" si="22">SUM(AA25:AA26)</f>
        <v>36.519630291729221</v>
      </c>
      <c r="AB24" s="28">
        <f t="shared" si="22"/>
        <v>43.706121845772216</v>
      </c>
      <c r="AC24" s="28">
        <f t="shared" si="22"/>
        <v>26.576624748011</v>
      </c>
      <c r="AD24" s="28">
        <f t="shared" si="22"/>
        <v>60.150467104336997</v>
      </c>
      <c r="AE24" s="28">
        <f t="shared" si="22"/>
        <v>108.44471372218833</v>
      </c>
      <c r="AF24" s="28">
        <f t="shared" si="22"/>
        <v>105.50269951004388</v>
      </c>
      <c r="AG24" s="28">
        <f t="shared" si="22"/>
        <v>26.318386791767686</v>
      </c>
      <c r="AH24" s="28">
        <f t="shared" si="22"/>
        <v>24.394579026104999</v>
      </c>
      <c r="AI24" s="28">
        <f t="shared" si="22"/>
        <v>38.531512138870092</v>
      </c>
      <c r="AJ24" s="28">
        <f t="shared" si="22"/>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3">+SUM(AS25:AS26)</f>
        <v>215.69430917953127</v>
      </c>
      <c r="AT24" s="28">
        <f t="shared" si="23"/>
        <v>170.11999999999998</v>
      </c>
      <c r="AU24" s="28">
        <f t="shared" si="23"/>
        <v>153.47972409705409</v>
      </c>
      <c r="AV24" s="106">
        <v>193.01942152888</v>
      </c>
    </row>
    <row r="25" spans="1:57">
      <c r="A25" s="1">
        <f t="shared" si="0"/>
        <v>20</v>
      </c>
      <c r="B25" s="5" t="s">
        <v>191</v>
      </c>
      <c r="C25" s="29">
        <f t="shared" si="8"/>
        <v>24.793479999999988</v>
      </c>
      <c r="D25" s="29">
        <f t="shared" si="9"/>
        <v>31.993730000000042</v>
      </c>
      <c r="E25" s="48">
        <f t="shared" si="19"/>
        <v>0.29040901075605596</v>
      </c>
      <c r="G25" s="57">
        <f t="shared" si="1"/>
        <v>20</v>
      </c>
      <c r="H25" s="5" t="s">
        <v>191</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row>
    <row r="26" spans="1:57">
      <c r="A26" s="1">
        <f t="shared" si="0"/>
        <v>21</v>
      </c>
      <c r="B26" s="5" t="s">
        <v>190</v>
      </c>
      <c r="C26" s="29">
        <f t="shared" si="8"/>
        <v>173.74186553044115</v>
      </c>
      <c r="D26" s="29">
        <f t="shared" si="9"/>
        <v>161.02569152887995</v>
      </c>
      <c r="E26" s="48">
        <f t="shared" si="19"/>
        <v>-7.3190039503364335E-2</v>
      </c>
      <c r="G26" s="57">
        <f t="shared" si="1"/>
        <v>21</v>
      </c>
      <c r="H26" s="5" t="s">
        <v>190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row>
    <row r="27" spans="1:57">
      <c r="A27" s="1">
        <f t="shared" si="0"/>
        <v>22</v>
      </c>
      <c r="B27" s="27" t="s">
        <v>97</v>
      </c>
      <c r="C27" s="30">
        <f t="shared" si="8"/>
        <v>0</v>
      </c>
      <c r="D27" s="30">
        <f t="shared" si="9"/>
        <v>175.73004669365855</v>
      </c>
      <c r="E27" s="48" t="s">
        <v>101</v>
      </c>
      <c r="G27" s="57">
        <f t="shared" si="1"/>
        <v>22</v>
      </c>
      <c r="H27" s="27" t="s">
        <v>97</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16</v>
      </c>
      <c r="AV27" s="30">
        <v>175.73004669365855</v>
      </c>
    </row>
    <row r="28" spans="1:57" ht="5.25" customHeight="1">
      <c r="A28" s="1">
        <f t="shared" si="0"/>
        <v>23</v>
      </c>
      <c r="E28" s="104"/>
      <c r="G28" s="57">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57">
      <c r="A29" s="1">
        <f t="shared" si="0"/>
        <v>24</v>
      </c>
      <c r="B29" s="19" t="s">
        <v>98</v>
      </c>
      <c r="C29" s="26">
        <f t="shared" si="8"/>
        <v>448.44301984515789</v>
      </c>
      <c r="D29" s="26">
        <f t="shared" si="9"/>
        <v>-140.57130138670857</v>
      </c>
      <c r="E29" s="54">
        <f t="shared" si="19"/>
        <v>-1.3134652456743472</v>
      </c>
      <c r="G29" s="57">
        <f t="shared" si="1"/>
        <v>24</v>
      </c>
      <c r="H29" s="19" t="s">
        <v>98</v>
      </c>
      <c r="I29" s="26">
        <f>I13-I27</f>
        <v>218.96751644732302</v>
      </c>
      <c r="J29" s="26">
        <f t="shared" ref="J29:W29" si="24">J13-J27</f>
        <v>424.53248355267698</v>
      </c>
      <c r="K29" s="26">
        <f t="shared" si="24"/>
        <v>123.2</v>
      </c>
      <c r="L29" s="26">
        <f t="shared" si="24"/>
        <v>-119.8</v>
      </c>
      <c r="M29" s="26">
        <f t="shared" si="24"/>
        <v>327</v>
      </c>
      <c r="N29" s="26">
        <f t="shared" si="24"/>
        <v>484</v>
      </c>
      <c r="O29" s="26">
        <f t="shared" si="24"/>
        <v>455.71628899999996</v>
      </c>
      <c r="P29" s="26">
        <f t="shared" si="24"/>
        <v>53.761164545645784</v>
      </c>
      <c r="Q29" s="26">
        <f t="shared" si="24"/>
        <v>402.79276660438609</v>
      </c>
      <c r="R29" s="26">
        <f t="shared" si="24"/>
        <v>512.70931975909969</v>
      </c>
      <c r="S29" s="26">
        <f t="shared" si="24"/>
        <v>-433</v>
      </c>
      <c r="T29" s="26">
        <f t="shared" si="24"/>
        <v>-490</v>
      </c>
      <c r="U29" s="26">
        <f>U13-U27</f>
        <v>355.57419945754248</v>
      </c>
      <c r="V29" s="26">
        <f t="shared" si="24"/>
        <v>476.44857716393153</v>
      </c>
      <c r="W29" s="26">
        <f t="shared" si="24"/>
        <v>163.68519530717492</v>
      </c>
      <c r="X29" s="26">
        <f t="shared" ref="X29:Y29" si="25">X13-X27</f>
        <v>345.10789999999997</v>
      </c>
      <c r="Y29" s="26">
        <f t="shared" si="25"/>
        <v>524.51625259600632</v>
      </c>
      <c r="Z29" s="26">
        <f>Z13-Z27</f>
        <v>517.42100000000005</v>
      </c>
      <c r="AA29" s="26">
        <f>AA13-AA27</f>
        <v>49.138423481814684</v>
      </c>
      <c r="AB29" s="26">
        <f t="shared" ref="AB29:AE29" si="26">AB13-AB27</f>
        <v>127.18293860450689</v>
      </c>
      <c r="AC29" s="26">
        <f t="shared" si="26"/>
        <v>679.59258450063749</v>
      </c>
      <c r="AD29" s="26">
        <f t="shared" si="26"/>
        <v>565.63741879474242</v>
      </c>
      <c r="AE29" s="26">
        <f t="shared" si="26"/>
        <v>-338</v>
      </c>
      <c r="AF29" s="26">
        <f t="shared" ref="AF29:AL29" si="27">AF13-AF27</f>
        <v>-102.91959303165353</v>
      </c>
      <c r="AG29" s="26">
        <f t="shared" si="27"/>
        <v>399.97817196043991</v>
      </c>
      <c r="AH29" s="26">
        <f t="shared" si="27"/>
        <v>500.52412506537814</v>
      </c>
      <c r="AI29" s="26">
        <f t="shared" si="27"/>
        <v>789.41849508749317</v>
      </c>
      <c r="AJ29" s="26">
        <f t="shared" si="27"/>
        <v>-234.52825661752502</v>
      </c>
      <c r="AK29" s="26">
        <f t="shared" si="27"/>
        <v>-93.084104091865811</v>
      </c>
      <c r="AL29" s="26">
        <f t="shared" si="27"/>
        <v>621.59086649847029</v>
      </c>
      <c r="AM29" s="26">
        <f>AM13-AM27</f>
        <v>253.63679747067806</v>
      </c>
      <c r="AN29" s="26">
        <f>AN13-AN27</f>
        <v>74.494145812848004</v>
      </c>
      <c r="AO29" s="26">
        <f>AO13-AO27</f>
        <v>240</v>
      </c>
      <c r="AP29" s="26">
        <f t="shared" ref="AP29:AV29" si="28">AP13-AP27</f>
        <v>535</v>
      </c>
      <c r="AQ29" s="26">
        <f t="shared" si="28"/>
        <v>194.77162800738492</v>
      </c>
      <c r="AR29" s="26">
        <f t="shared" si="28"/>
        <v>448.44301984515789</v>
      </c>
      <c r="AS29" s="26">
        <f t="shared" si="28"/>
        <v>304.45764578247338</v>
      </c>
      <c r="AT29" s="26">
        <f t="shared" si="28"/>
        <v>460.25699149522723</v>
      </c>
      <c r="AU29" s="26">
        <f t="shared" si="28"/>
        <v>233.75240306943329</v>
      </c>
      <c r="AV29" s="26">
        <f t="shared" si="28"/>
        <v>-140.57130138670857</v>
      </c>
    </row>
    <row r="30" spans="1:57">
      <c r="E30" s="56"/>
    </row>
    <row r="34" spans="1:48" ht="23.5">
      <c r="B34" s="11" t="s">
        <v>37</v>
      </c>
      <c r="C34" s="12"/>
      <c r="D34" s="12"/>
      <c r="E34" s="12"/>
      <c r="H34" s="11" t="s">
        <v>37</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row>
    <row r="36" spans="1:48">
      <c r="A36" s="1">
        <v>1</v>
      </c>
      <c r="B36" s="3" t="s">
        <v>42</v>
      </c>
      <c r="C36" s="108" t="str">
        <f>C6</f>
        <v>4Q22</v>
      </c>
      <c r="D36" s="108" t="str">
        <f>D6</f>
        <v>4Q23</v>
      </c>
      <c r="E36" s="108" t="s">
        <v>45</v>
      </c>
      <c r="G36" s="57">
        <v>1</v>
      </c>
      <c r="H36" s="3" t="s">
        <v>46</v>
      </c>
      <c r="I36" s="108" t="s">
        <v>47</v>
      </c>
      <c r="J36" s="108" t="s">
        <v>48</v>
      </c>
      <c r="K36" s="108" t="s">
        <v>49</v>
      </c>
      <c r="L36" s="108" t="s">
        <v>50</v>
      </c>
      <c r="M36" s="108" t="s">
        <v>51</v>
      </c>
      <c r="N36" s="108" t="s">
        <v>52</v>
      </c>
      <c r="O36" s="108" t="s">
        <v>53</v>
      </c>
      <c r="P36" s="108" t="s">
        <v>54</v>
      </c>
      <c r="Q36" s="108" t="s">
        <v>55</v>
      </c>
      <c r="R36" s="108" t="s">
        <v>56</v>
      </c>
      <c r="S36" s="108" t="s">
        <v>57</v>
      </c>
      <c r="T36" s="108" t="s">
        <v>58</v>
      </c>
      <c r="U36" s="108" t="s">
        <v>59</v>
      </c>
      <c r="V36" s="108" t="s">
        <v>60</v>
      </c>
      <c r="W36" s="108" t="s">
        <v>61</v>
      </c>
      <c r="X36" s="108" t="s">
        <v>62</v>
      </c>
      <c r="Y36" s="108" t="s">
        <v>63</v>
      </c>
      <c r="Z36" s="108" t="s">
        <v>64</v>
      </c>
      <c r="AA36" s="108" t="s">
        <v>65</v>
      </c>
      <c r="AB36" s="108" t="s">
        <v>66</v>
      </c>
      <c r="AC36" s="108" t="s">
        <v>67</v>
      </c>
      <c r="AD36" s="108" t="s">
        <v>68</v>
      </c>
      <c r="AE36" s="108" t="s">
        <v>69</v>
      </c>
      <c r="AF36" s="108" t="s">
        <v>70</v>
      </c>
      <c r="AG36" s="108" t="s">
        <v>71</v>
      </c>
      <c r="AH36" s="108" t="s">
        <v>72</v>
      </c>
      <c r="AI36" s="108" t="s">
        <v>73</v>
      </c>
      <c r="AJ36" s="108" t="s">
        <v>74</v>
      </c>
      <c r="AK36" s="108" t="s">
        <v>75</v>
      </c>
      <c r="AL36" s="108" t="s">
        <v>76</v>
      </c>
      <c r="AM36" s="108" t="s">
        <v>77</v>
      </c>
      <c r="AN36" s="108" t="s">
        <v>78</v>
      </c>
      <c r="AO36" s="108" t="s">
        <v>79</v>
      </c>
      <c r="AP36" s="108" t="s">
        <v>80</v>
      </c>
      <c r="AQ36" s="108" t="s">
        <v>81</v>
      </c>
      <c r="AR36" s="108" t="s">
        <v>43</v>
      </c>
      <c r="AS36" s="108" t="s">
        <v>82</v>
      </c>
      <c r="AT36" s="108" t="s">
        <v>83</v>
      </c>
      <c r="AU36" s="108" t="s">
        <v>84</v>
      </c>
      <c r="AV36" s="108" t="s">
        <v>44</v>
      </c>
    </row>
    <row r="37" spans="1:48">
      <c r="A37" s="1">
        <v>2</v>
      </c>
      <c r="B37" s="3" t="s">
        <v>85</v>
      </c>
      <c r="C37" s="108"/>
      <c r="D37" s="108"/>
      <c r="E37" s="108"/>
      <c r="G37" s="57">
        <f>G36+1</f>
        <v>2</v>
      </c>
      <c r="H37" s="3" t="s">
        <v>85</v>
      </c>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row>
    <row r="38" spans="1:48">
      <c r="A38" s="1">
        <v>3</v>
      </c>
      <c r="G38" s="57">
        <f t="shared" ref="G38:G51" si="29">G37+1</f>
        <v>3</v>
      </c>
    </row>
    <row r="39" spans="1:48">
      <c r="A39" s="1">
        <v>4</v>
      </c>
      <c r="B39" s="6" t="s">
        <v>86</v>
      </c>
      <c r="C39" s="23">
        <f>SUM(C41:C42)</f>
        <v>1174.6311800154549</v>
      </c>
      <c r="D39" s="23">
        <f>SUM(D41:D42)</f>
        <v>986.8</v>
      </c>
      <c r="E39" s="23">
        <f>D39/C39-1</f>
        <v>-0.15990651636966047</v>
      </c>
      <c r="G39" s="57">
        <f t="shared" si="29"/>
        <v>4</v>
      </c>
      <c r="H39" s="6" t="s">
        <v>86</v>
      </c>
      <c r="I39" s="31"/>
      <c r="J39" s="31"/>
      <c r="K39" s="31"/>
      <c r="L39" s="31"/>
      <c r="M39" s="31"/>
      <c r="N39" s="31"/>
      <c r="O39" s="31"/>
      <c r="P39" s="31"/>
      <c r="Q39" s="23">
        <f>Q41+Q42</f>
        <v>896.15477393720892</v>
      </c>
      <c r="R39" s="23">
        <f t="shared" ref="R39:W39" si="30">R41+R42</f>
        <v>966.33258163299797</v>
      </c>
      <c r="S39" s="23">
        <f t="shared" si="30"/>
        <v>931.47193074071765</v>
      </c>
      <c r="T39" s="23">
        <f t="shared" si="30"/>
        <v>1184.7649773808278</v>
      </c>
      <c r="U39" s="23">
        <f t="shared" si="30"/>
        <v>788.82634795288288</v>
      </c>
      <c r="V39" s="23">
        <f t="shared" si="30"/>
        <v>1049</v>
      </c>
      <c r="W39" s="23">
        <f t="shared" si="30"/>
        <v>1163.3114928183011</v>
      </c>
      <c r="X39" s="23">
        <f t="shared" ref="X39:Y39" si="31">X41+X42</f>
        <v>1110.2813305312957</v>
      </c>
      <c r="Y39" s="23">
        <f t="shared" si="31"/>
        <v>809.94496876190215</v>
      </c>
      <c r="Z39" s="23">
        <f t="shared" ref="Z39:AE39" si="32">Z41+Z42</f>
        <v>978.76345776423216</v>
      </c>
      <c r="AA39" s="23">
        <f t="shared" si="32"/>
        <v>1096.5211357750077</v>
      </c>
      <c r="AB39" s="23">
        <f t="shared" si="32"/>
        <v>1159.7479302785923</v>
      </c>
      <c r="AC39" s="23">
        <f t="shared" si="32"/>
        <v>941.93401631200777</v>
      </c>
      <c r="AD39" s="23">
        <f t="shared" si="32"/>
        <v>983.01939262984422</v>
      </c>
      <c r="AE39" s="23">
        <f t="shared" si="32"/>
        <v>1160.60459709322</v>
      </c>
      <c r="AF39" s="23">
        <f t="shared" ref="AF39:AO39" si="33">AF41+AF42</f>
        <v>825.0815780808764</v>
      </c>
      <c r="AG39" s="23">
        <f t="shared" si="33"/>
        <v>515.44411977188861</v>
      </c>
      <c r="AH39" s="23">
        <f t="shared" si="33"/>
        <v>626.65296885991324</v>
      </c>
      <c r="AI39" s="23">
        <f t="shared" si="33"/>
        <v>1018.899188234898</v>
      </c>
      <c r="AJ39" s="23">
        <f t="shared" si="33"/>
        <v>965.98011462914837</v>
      </c>
      <c r="AK39" s="23">
        <f t="shared" si="33"/>
        <v>560.96413158793575</v>
      </c>
      <c r="AL39" s="23">
        <f t="shared" si="33"/>
        <v>877.86212596818189</v>
      </c>
      <c r="AM39" s="23">
        <f t="shared" si="33"/>
        <v>1183.6065573044966</v>
      </c>
      <c r="AN39" s="23">
        <f t="shared" si="33"/>
        <v>906.64523534285752</v>
      </c>
      <c r="AO39" s="23">
        <f t="shared" si="33"/>
        <v>1001.9415212568607</v>
      </c>
      <c r="AP39" s="23">
        <v>952.37681311411916</v>
      </c>
      <c r="AQ39" s="23">
        <v>1150</v>
      </c>
      <c r="AR39" s="23">
        <f>+AR41+AR42</f>
        <v>1174.6311800154549</v>
      </c>
      <c r="AS39" s="23">
        <v>950.48982971991609</v>
      </c>
      <c r="AT39" s="23">
        <v>888.66200499877345</v>
      </c>
      <c r="AU39" s="23">
        <v>1168.5378808233431</v>
      </c>
      <c r="AV39" s="23">
        <v>987</v>
      </c>
    </row>
    <row r="40" spans="1:48" ht="6" customHeight="1">
      <c r="A40" s="1">
        <v>5</v>
      </c>
      <c r="G40" s="57">
        <f t="shared" si="29"/>
        <v>5</v>
      </c>
      <c r="I40" s="32"/>
      <c r="J40" s="32"/>
      <c r="K40" s="32"/>
      <c r="L40" s="32"/>
      <c r="M40" s="32"/>
      <c r="N40" s="32"/>
      <c r="O40" s="32"/>
      <c r="P40" s="32"/>
    </row>
    <row r="41" spans="1:48">
      <c r="A41" s="1">
        <v>6</v>
      </c>
      <c r="B41" s="5" t="s">
        <v>99</v>
      </c>
      <c r="C41" s="24">
        <f>HLOOKUP($C$6,$H$36:$BE$51,$G41,FALSE)</f>
        <v>618.76980656410842</v>
      </c>
      <c r="D41" s="24">
        <f>HLOOKUP($D$6,$H$36:$BE$51,$G41,FALSE)</f>
        <v>838.4</v>
      </c>
      <c r="E41" s="24">
        <f>+D41/C41-1</f>
        <v>0.35494652632688939</v>
      </c>
      <c r="F41" s="53"/>
      <c r="G41" s="57">
        <f t="shared" si="29"/>
        <v>6</v>
      </c>
      <c r="H41" s="5" t="s">
        <v>99</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row>
    <row r="42" spans="1:48">
      <c r="A42" s="1">
        <v>7</v>
      </c>
      <c r="B42" s="5" t="s">
        <v>89</v>
      </c>
      <c r="C42" s="24">
        <f t="shared" ref="C42:C51" si="34">HLOOKUP($C$6,$H$36:$BE$51,$G42,FALSE)</f>
        <v>555.86137345134637</v>
      </c>
      <c r="D42" s="24">
        <f t="shared" ref="D42:D51" si="35">HLOOKUP($D$6,$H$36:$BE$51,$G42,FALSE)</f>
        <v>148.4</v>
      </c>
      <c r="E42" s="24">
        <f>+D42/C42-1</f>
        <v>-0.733026961239304</v>
      </c>
      <c r="G42" s="57">
        <f t="shared" si="29"/>
        <v>7</v>
      </c>
      <c r="H42" s="5" t="s">
        <v>89</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row>
    <row r="43" spans="1:48" ht="6" customHeight="1">
      <c r="A43" s="1">
        <v>8</v>
      </c>
      <c r="C43" s="25">
        <f t="shared" si="34"/>
        <v>0</v>
      </c>
      <c r="D43" s="25">
        <f t="shared" si="35"/>
        <v>0</v>
      </c>
      <c r="E43" s="25"/>
      <c r="G43" s="57">
        <f t="shared" si="29"/>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row>
    <row r="44" spans="1:48">
      <c r="A44" s="1">
        <v>9</v>
      </c>
      <c r="B44" s="5" t="s">
        <v>90</v>
      </c>
      <c r="C44" s="24">
        <f t="shared" si="34"/>
        <v>569.88417776799838</v>
      </c>
      <c r="D44" s="24">
        <f t="shared" si="35"/>
        <v>570</v>
      </c>
      <c r="E44" s="24">
        <f t="shared" ref="E44" si="36">+D44/C44-1</f>
        <v>2.0323819561940404E-4</v>
      </c>
      <c r="G44" s="57">
        <f t="shared" si="29"/>
        <v>9</v>
      </c>
      <c r="H44" s="5" t="s">
        <v>90</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row>
    <row r="45" spans="1:48" ht="12.75" customHeight="1">
      <c r="A45" s="1">
        <v>10</v>
      </c>
      <c r="G45" s="57">
        <f t="shared" si="29"/>
        <v>10</v>
      </c>
      <c r="I45" s="32"/>
      <c r="J45" s="32"/>
      <c r="K45" s="32"/>
      <c r="L45" s="32"/>
      <c r="M45" s="32"/>
      <c r="N45" s="32"/>
      <c r="O45" s="32"/>
      <c r="P45" s="32"/>
    </row>
    <row r="46" spans="1:48">
      <c r="A46" s="1">
        <v>11</v>
      </c>
      <c r="B46" s="6" t="s">
        <v>91</v>
      </c>
      <c r="C46" s="23">
        <f t="shared" si="34"/>
        <v>1201.6747256588701</v>
      </c>
      <c r="D46" s="23">
        <f t="shared" si="35"/>
        <v>900</v>
      </c>
      <c r="E46" s="23">
        <f>D46/C46-1</f>
        <v>-0.25104524478823831</v>
      </c>
      <c r="G46" s="57">
        <f t="shared" si="29"/>
        <v>11</v>
      </c>
      <c r="H46" s="6" t="s">
        <v>91</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37">X48</f>
        <v>1135.4340123571928</v>
      </c>
      <c r="Y46" s="23">
        <f t="shared" si="37"/>
        <v>604.51495743320493</v>
      </c>
      <c r="Z46" s="23">
        <f t="shared" si="37"/>
        <v>1002.3766853551615</v>
      </c>
      <c r="AA46" s="23">
        <f t="shared" si="37"/>
        <v>1120.5979260393226</v>
      </c>
      <c r="AB46" s="23">
        <f t="shared" si="37"/>
        <v>1186.0360253896108</v>
      </c>
      <c r="AC46" s="23">
        <f t="shared" si="37"/>
        <v>931.62044726669956</v>
      </c>
      <c r="AD46" s="23">
        <f t="shared" si="37"/>
        <v>937.26247630600551</v>
      </c>
      <c r="AE46" s="23">
        <f t="shared" si="37"/>
        <v>1185.39815986183</v>
      </c>
      <c r="AF46" s="23">
        <f t="shared" si="37"/>
        <v>713.17974191683015</v>
      </c>
      <c r="AG46" s="23">
        <f t="shared" si="37"/>
        <v>343.09821429481127</v>
      </c>
      <c r="AH46" s="23">
        <f t="shared" si="37"/>
        <v>512.9721762170193</v>
      </c>
      <c r="AI46" s="23">
        <f t="shared" si="37"/>
        <v>1041.8325739005161</v>
      </c>
      <c r="AJ46" s="23">
        <f t="shared" si="37"/>
        <v>989.03271813771471</v>
      </c>
      <c r="AK46" s="23">
        <f t="shared" si="37"/>
        <v>520.66747253658468</v>
      </c>
      <c r="AL46" s="23">
        <f t="shared" si="37"/>
        <v>778.16852065162254</v>
      </c>
      <c r="AM46" s="23">
        <f t="shared" si="37"/>
        <v>1210.0593126671508</v>
      </c>
      <c r="AN46" s="23">
        <f t="shared" si="37"/>
        <v>930.07540105793123</v>
      </c>
      <c r="AO46" s="23">
        <f t="shared" si="37"/>
        <v>1027.2936049546111</v>
      </c>
      <c r="AP46" s="23">
        <f t="shared" si="37"/>
        <v>929.45667144024651</v>
      </c>
      <c r="AQ46" s="23">
        <v>1176</v>
      </c>
      <c r="AR46" s="23">
        <f>+AR48</f>
        <v>1201.6747256588701</v>
      </c>
      <c r="AS46" s="23">
        <v>969.29690750710495</v>
      </c>
      <c r="AT46" s="23">
        <v>337.51918882592179</v>
      </c>
      <c r="AU46" s="23">
        <v>1197.2523524512408</v>
      </c>
      <c r="AV46" s="23">
        <f>AV48</f>
        <v>900</v>
      </c>
    </row>
    <row r="47" spans="1:48" ht="6" customHeight="1">
      <c r="A47" s="1">
        <v>12</v>
      </c>
      <c r="G47" s="57">
        <f t="shared" si="29"/>
        <v>12</v>
      </c>
      <c r="I47" s="32"/>
      <c r="J47" s="32"/>
      <c r="K47" s="32"/>
      <c r="L47" s="32"/>
      <c r="M47" s="32"/>
      <c r="N47" s="32"/>
      <c r="O47" s="32"/>
      <c r="P47" s="32"/>
    </row>
    <row r="48" spans="1:48">
      <c r="A48" s="1">
        <v>13</v>
      </c>
      <c r="B48" s="5" t="s">
        <v>100</v>
      </c>
      <c r="C48" s="24">
        <f t="shared" si="34"/>
        <v>1201.6747256588701</v>
      </c>
      <c r="D48" s="24">
        <f t="shared" si="35"/>
        <v>900</v>
      </c>
      <c r="E48" s="24">
        <f t="shared" ref="E48" si="38">+D48/C48-1</f>
        <v>-0.25104524478823831</v>
      </c>
      <c r="G48" s="57">
        <f t="shared" si="29"/>
        <v>13</v>
      </c>
      <c r="H48" s="5" t="s">
        <v>100</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row>
    <row r="49" spans="1:48">
      <c r="A49" s="1">
        <v>14</v>
      </c>
      <c r="B49" s="5" t="s">
        <v>97</v>
      </c>
      <c r="C49" s="61">
        <f t="shared" si="34"/>
        <v>0</v>
      </c>
      <c r="D49" s="61">
        <f t="shared" si="35"/>
        <v>109</v>
      </c>
      <c r="E49" s="96" t="s">
        <v>101</v>
      </c>
      <c r="G49" s="57">
        <f t="shared" si="29"/>
        <v>14</v>
      </c>
      <c r="H49" s="5" t="s">
        <v>97</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1">
        <v>0</v>
      </c>
      <c r="AP49" s="61">
        <v>44.494576904377624</v>
      </c>
      <c r="AQ49" s="61">
        <v>0</v>
      </c>
      <c r="AR49" s="61"/>
      <c r="AS49" s="61">
        <v>5</v>
      </c>
      <c r="AT49" s="61">
        <v>562.27625532073023</v>
      </c>
      <c r="AU49" s="61">
        <v>0</v>
      </c>
      <c r="AV49" s="61">
        <v>109</v>
      </c>
    </row>
    <row r="50" spans="1:48" ht="6" customHeight="1">
      <c r="A50" s="1">
        <v>15</v>
      </c>
      <c r="C50" s="25">
        <f t="shared" si="34"/>
        <v>0</v>
      </c>
      <c r="D50" s="25">
        <f t="shared" si="35"/>
        <v>0</v>
      </c>
      <c r="E50" s="25"/>
      <c r="G50" s="57">
        <f t="shared" si="29"/>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row>
    <row r="51" spans="1:48">
      <c r="A51" s="1">
        <v>16</v>
      </c>
      <c r="B51" s="84" t="s">
        <v>98</v>
      </c>
      <c r="C51" s="26">
        <f t="shared" si="34"/>
        <v>555.86137345134637</v>
      </c>
      <c r="D51" s="26">
        <f t="shared" si="35"/>
        <v>39</v>
      </c>
      <c r="E51" s="26">
        <f t="shared" ref="E51" si="39">+D51/C51-1</f>
        <v>-0.92983862188903543</v>
      </c>
      <c r="G51" s="57">
        <f t="shared" si="29"/>
        <v>16</v>
      </c>
      <c r="H51" s="19" t="s">
        <v>98</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40">Z42-Z49</f>
        <v>173.63322159405053</v>
      </c>
      <c r="AA51" s="26">
        <f t="shared" si="40"/>
        <v>371.0847186405806</v>
      </c>
      <c r="AB51" s="26">
        <f t="shared" si="40"/>
        <v>442.96485769998151</v>
      </c>
      <c r="AC51" s="26">
        <f t="shared" si="40"/>
        <v>155.92275581512291</v>
      </c>
      <c r="AD51" s="26">
        <f t="shared" si="40"/>
        <v>208.98762901664603</v>
      </c>
      <c r="AE51" s="26">
        <f t="shared" si="40"/>
        <v>430.10112776056849</v>
      </c>
      <c r="AF51" s="26">
        <f t="shared" si="40"/>
        <v>-38.521099921727057</v>
      </c>
      <c r="AG51" s="26">
        <f t="shared" si="40"/>
        <v>-185.6060478259773</v>
      </c>
      <c r="AH51" s="26">
        <f t="shared" si="40"/>
        <v>86.260134478742984</v>
      </c>
      <c r="AI51" s="26">
        <f t="shared" si="40"/>
        <v>552.21832102011876</v>
      </c>
      <c r="AJ51" s="26">
        <f t="shared" si="40"/>
        <v>476.18994898937126</v>
      </c>
      <c r="AK51" s="26">
        <f t="shared" si="40"/>
        <v>-6.1080999002123804</v>
      </c>
      <c r="AL51" s="26">
        <f t="shared" si="40"/>
        <v>253.94782729357865</v>
      </c>
      <c r="AM51" s="26">
        <f t="shared" si="40"/>
        <v>676.72777739843013</v>
      </c>
      <c r="AN51" s="26">
        <f t="shared" si="40"/>
        <v>381.07772852116545</v>
      </c>
      <c r="AO51" s="26">
        <f t="shared" si="40"/>
        <v>384.91165337545465</v>
      </c>
      <c r="AP51" s="26">
        <f t="shared" si="40"/>
        <v>318.34058708855684</v>
      </c>
      <c r="AQ51" s="26">
        <f t="shared" ref="AQ51" si="41">AQ42-AQ49</f>
        <v>553</v>
      </c>
      <c r="AR51" s="26">
        <f>+AR42-AR49</f>
        <v>555.86137345134637</v>
      </c>
      <c r="AS51" s="26">
        <v>77.474370579136405</v>
      </c>
      <c r="AT51" s="26">
        <v>-523.64319950005074</v>
      </c>
      <c r="AU51" s="26">
        <v>355</v>
      </c>
      <c r="AV51" s="26">
        <v>39</v>
      </c>
    </row>
    <row r="53" spans="1:48">
      <c r="B53" s="1" t="s">
        <v>188</v>
      </c>
    </row>
    <row r="54" spans="1:48">
      <c r="B54" s="1" t="s">
        <v>189</v>
      </c>
    </row>
  </sheetData>
  <mergeCells count="86">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R36:R37"/>
    <mergeCell ref="S36:S37"/>
    <mergeCell ref="T36:T37"/>
    <mergeCell ref="Q6:Q7"/>
    <mergeCell ref="R6:R7"/>
    <mergeCell ref="S6:S7"/>
    <mergeCell ref="C6:C7"/>
    <mergeCell ref="D6:D7"/>
    <mergeCell ref="E6:E7"/>
    <mergeCell ref="I6:I7"/>
    <mergeCell ref="J6:J7"/>
    <mergeCell ref="C36:C37"/>
    <mergeCell ref="D36:D37"/>
    <mergeCell ref="E36:E37"/>
    <mergeCell ref="I36:I37"/>
    <mergeCell ref="J36:J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AA6:AA7"/>
    <mergeCell ref="AA36:AA37"/>
    <mergeCell ref="AB6:AB7"/>
    <mergeCell ref="AB36:AB37"/>
    <mergeCell ref="AE6:AE7"/>
    <mergeCell ref="AE36:AE37"/>
    <mergeCell ref="AD6:AD7"/>
    <mergeCell ref="AD36:AD37"/>
    <mergeCell ref="AC6:AC7"/>
    <mergeCell ref="AC36:AC37"/>
    <mergeCell ref="AQ36:AQ37"/>
    <mergeCell ref="AO6:AO7"/>
    <mergeCell ref="AO36:AO37"/>
    <mergeCell ref="AQ6:AQ7"/>
    <mergeCell ref="AP6:AP7"/>
    <mergeCell ref="AP36:AP37"/>
    <mergeCell ref="AV6:AV7"/>
    <mergeCell ref="AV36:AV37"/>
    <mergeCell ref="AS6:AS7"/>
    <mergeCell ref="AR6:AR7"/>
    <mergeCell ref="AR36:AR37"/>
    <mergeCell ref="AS36:AS37"/>
    <mergeCell ref="AU6:AU7"/>
    <mergeCell ref="AU36:AU37"/>
    <mergeCell ref="AT6:AT7"/>
    <mergeCell ref="AT36:AT37"/>
  </mergeCells>
  <phoneticPr fontId="14" type="noConversion"/>
  <pageMargins left="0.7" right="0.7" top="0.75" bottom="0.75" header="0.3" footer="0.3"/>
  <pageSetup orientation="portrait" r:id="rId1"/>
  <ignoredErrors>
    <ignoredError sqref="I24 J24:AG24 AK24 AH24:AJ24 AL24:AM24 AP24:AU24 AV9" formulaRange="1"/>
    <ignoredError sqref="AN24:AO24" formula="1"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3:AL50"/>
  <sheetViews>
    <sheetView topLeftCell="B4" zoomScale="80" zoomScaleNormal="80" workbookViewId="0">
      <selection activeCell="AL29" sqref="AL29"/>
    </sheetView>
  </sheetViews>
  <sheetFormatPr defaultColWidth="11.453125" defaultRowHeight="13.5"/>
  <cols>
    <col min="1" max="1" width="0" style="1" hidden="1" customWidth="1"/>
    <col min="2" max="2" width="57.26953125" style="1" customWidth="1"/>
    <col min="3" max="6" width="11.453125" style="1"/>
    <col min="7" max="7" width="11.453125" style="57"/>
    <col min="8" max="8" width="57.26953125" style="1" customWidth="1"/>
    <col min="9" max="27" width="11.453125" style="1" hidden="1" customWidth="1"/>
    <col min="28" max="28" width="11.54296875" style="1" hidden="1" customWidth="1"/>
    <col min="29" max="29" width="11.453125" style="1" hidden="1" customWidth="1"/>
    <col min="30" max="30" width="11.26953125" style="1" hidden="1" customWidth="1"/>
    <col min="31" max="31" width="11.453125" style="1" hidden="1" customWidth="1"/>
    <col min="32" max="34" width="11.453125" style="1" customWidth="1"/>
    <col min="35" max="16384" width="11.453125" style="1"/>
  </cols>
  <sheetData>
    <row r="3" spans="1:38">
      <c r="X3" s="78"/>
    </row>
    <row r="4" spans="1:38" ht="23.5">
      <c r="B4" s="11" t="s">
        <v>102</v>
      </c>
      <c r="C4" s="12"/>
      <c r="D4" s="12"/>
      <c r="E4" s="12"/>
      <c r="H4" s="11" t="s">
        <v>102</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row>
    <row r="5" spans="1:38" ht="8.25" customHeight="1"/>
    <row r="6" spans="1:38" ht="15.75" customHeight="1">
      <c r="A6" s="1">
        <v>1</v>
      </c>
      <c r="B6" s="3" t="s">
        <v>103</v>
      </c>
      <c r="C6" s="108" t="s">
        <v>43</v>
      </c>
      <c r="D6" s="108" t="s">
        <v>44</v>
      </c>
      <c r="E6" s="108" t="s">
        <v>45</v>
      </c>
      <c r="G6" s="57">
        <v>1</v>
      </c>
      <c r="H6" s="3" t="s">
        <v>103</v>
      </c>
      <c r="I6" s="108" t="s">
        <v>59</v>
      </c>
      <c r="J6" s="108" t="s">
        <v>60</v>
      </c>
      <c r="K6" s="108" t="s">
        <v>61</v>
      </c>
      <c r="L6" s="108" t="s">
        <v>62</v>
      </c>
      <c r="M6" s="108" t="s">
        <v>63</v>
      </c>
      <c r="N6" s="108" t="s">
        <v>64</v>
      </c>
      <c r="O6" s="108" t="s">
        <v>65</v>
      </c>
      <c r="P6" s="108" t="s">
        <v>66</v>
      </c>
      <c r="Q6" s="108" t="s">
        <v>67</v>
      </c>
      <c r="R6" s="108" t="s">
        <v>104</v>
      </c>
      <c r="S6" s="108" t="s">
        <v>69</v>
      </c>
      <c r="T6" s="108" t="s">
        <v>70</v>
      </c>
      <c r="U6" s="108" t="s">
        <v>71</v>
      </c>
      <c r="V6" s="108" t="s">
        <v>72</v>
      </c>
      <c r="W6" s="108" t="s">
        <v>73</v>
      </c>
      <c r="X6" s="108" t="s">
        <v>74</v>
      </c>
      <c r="Y6" s="108" t="s">
        <v>75</v>
      </c>
      <c r="Z6" s="108" t="s">
        <v>76</v>
      </c>
      <c r="AA6" s="108" t="s">
        <v>77</v>
      </c>
      <c r="AB6" s="108" t="s">
        <v>78</v>
      </c>
      <c r="AC6" s="108" t="s">
        <v>79</v>
      </c>
      <c r="AD6" s="108" t="s">
        <v>80</v>
      </c>
      <c r="AE6" s="108" t="s">
        <v>81</v>
      </c>
      <c r="AF6" s="108" t="s">
        <v>43</v>
      </c>
      <c r="AG6" s="108" t="s">
        <v>82</v>
      </c>
      <c r="AH6" s="108" t="s">
        <v>83</v>
      </c>
      <c r="AI6" s="108" t="s">
        <v>84</v>
      </c>
      <c r="AJ6" s="108" t="s">
        <v>44</v>
      </c>
    </row>
    <row r="7" spans="1:38">
      <c r="A7" s="1">
        <v>2</v>
      </c>
      <c r="B7" s="3" t="s">
        <v>105</v>
      </c>
      <c r="C7" s="108"/>
      <c r="D7" s="108"/>
      <c r="E7" s="108"/>
      <c r="G7" s="57">
        <f>G6+1</f>
        <v>2</v>
      </c>
      <c r="H7" s="3" t="s">
        <v>105</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row>
    <row r="8" spans="1:38" ht="6.75" customHeight="1">
      <c r="A8" s="1">
        <v>3</v>
      </c>
      <c r="G8" s="57">
        <f t="shared" ref="G8:G46" si="0">G7+1</f>
        <v>3</v>
      </c>
    </row>
    <row r="9" spans="1:38">
      <c r="A9" s="1">
        <v>4</v>
      </c>
      <c r="B9" s="2" t="s">
        <v>106</v>
      </c>
      <c r="C9" s="74">
        <f>HLOOKUP($C$6,$H$6:$BU$46,$G9,FALSE)</f>
        <v>555.05677058927199</v>
      </c>
      <c r="D9" s="74">
        <f>HLOOKUP($D$6,$H$6:$BU$46,$G9,FALSE)</f>
        <v>409.24974269240329</v>
      </c>
      <c r="E9" s="37">
        <f>D9/C9-1</f>
        <v>-0.2626884953444919</v>
      </c>
      <c r="G9" s="57">
        <f t="shared" si="0"/>
        <v>4</v>
      </c>
      <c r="H9" s="2" t="s">
        <v>106</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4">
        <f>SUM(AD10:AD11)</f>
        <v>513.95137935606238</v>
      </c>
      <c r="AE9" s="74">
        <v>488.1792009022243</v>
      </c>
      <c r="AF9" s="74">
        <f>+AF10+AF11</f>
        <v>555.05677058927199</v>
      </c>
      <c r="AG9" s="74">
        <v>554.58970457266503</v>
      </c>
      <c r="AH9" s="74">
        <v>546.00599498124291</v>
      </c>
      <c r="AI9" s="74">
        <v>493.77969459469466</v>
      </c>
      <c r="AJ9" s="74">
        <v>409.24974269240329</v>
      </c>
    </row>
    <row r="10" spans="1:38">
      <c r="A10" s="1">
        <v>5</v>
      </c>
      <c r="B10" s="4" t="s">
        <v>107</v>
      </c>
      <c r="C10" s="75">
        <f t="shared" ref="C10:C46" si="2">HLOOKUP($C$6,$H$6:$BU$46,$G10,FALSE)</f>
        <v>548.08563891000051</v>
      </c>
      <c r="D10" s="75">
        <f t="shared" ref="D10:D46" si="3">HLOOKUP($D$6,$H$6:$BU$46,$G10,FALSE)</f>
        <v>395.8</v>
      </c>
      <c r="E10" s="35">
        <f t="shared" ref="E10:E11" si="4">+D10/C10-1</f>
        <v>-0.27785008053277394</v>
      </c>
      <c r="G10" s="57">
        <f t="shared" si="0"/>
        <v>5</v>
      </c>
      <c r="H10" s="4" t="s">
        <v>107</v>
      </c>
      <c r="I10" s="63">
        <v>375.70760791999999</v>
      </c>
      <c r="J10" s="63">
        <v>387.07254207000005</v>
      </c>
      <c r="K10" s="63">
        <v>377.56387881999996</v>
      </c>
      <c r="L10" s="63">
        <v>383.95966881999999</v>
      </c>
      <c r="M10" s="63">
        <v>399.36714494</v>
      </c>
      <c r="N10" s="63">
        <v>394.71491316000004</v>
      </c>
      <c r="O10" s="63">
        <f>360.15103961-O11</f>
        <v>353.20982264000003</v>
      </c>
      <c r="P10" s="63">
        <v>378.41628665000002</v>
      </c>
      <c r="Q10" s="63">
        <v>375.03835251999999</v>
      </c>
      <c r="R10" s="63">
        <v>381.06003191000002</v>
      </c>
      <c r="S10" s="63">
        <v>352.25140654999996</v>
      </c>
      <c r="T10" s="63">
        <v>340.84477436216139</v>
      </c>
      <c r="U10" s="63">
        <v>336.26742267000003</v>
      </c>
      <c r="V10" s="63">
        <v>318.16888381999996</v>
      </c>
      <c r="W10" s="63">
        <v>339.68414925000002</v>
      </c>
      <c r="X10" s="63">
        <v>329.10525194999997</v>
      </c>
      <c r="Y10" s="63">
        <v>327.88627881999986</v>
      </c>
      <c r="Z10" s="63">
        <v>362.26222753999991</v>
      </c>
      <c r="AA10" s="63">
        <v>338.07808542000032</v>
      </c>
      <c r="AB10" s="63">
        <v>368.41671285999996</v>
      </c>
      <c r="AC10" s="63">
        <v>404.13782836000001</v>
      </c>
      <c r="AD10" s="75">
        <v>503.74487557000009</v>
      </c>
      <c r="AE10" s="75">
        <v>476.91959276999989</v>
      </c>
      <c r="AF10" s="75">
        <v>548.08563891000051</v>
      </c>
      <c r="AG10" s="75">
        <v>536.95393946000002</v>
      </c>
      <c r="AH10" s="75">
        <v>530.27113609000014</v>
      </c>
      <c r="AI10" s="75">
        <v>469.46775133999995</v>
      </c>
      <c r="AJ10" s="75">
        <v>395.8</v>
      </c>
      <c r="AL10" s="51"/>
    </row>
    <row r="11" spans="1:38">
      <c r="A11" s="1">
        <v>6</v>
      </c>
      <c r="B11" s="5" t="s">
        <v>108</v>
      </c>
      <c r="C11" s="79">
        <f t="shared" si="2"/>
        <v>6.971131679271501</v>
      </c>
      <c r="D11" s="79">
        <f t="shared" si="3"/>
        <v>13.430127822403218</v>
      </c>
      <c r="E11" s="35">
        <f t="shared" si="4"/>
        <v>0.92653480672835276</v>
      </c>
      <c r="G11" s="57">
        <f t="shared" si="0"/>
        <v>6</v>
      </c>
      <c r="H11" s="5" t="s">
        <v>108</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9">
        <v>10.206503786062314</v>
      </c>
      <c r="AE11" s="79">
        <v>11.259608132224447</v>
      </c>
      <c r="AF11" s="79">
        <v>6.971131679271501</v>
      </c>
      <c r="AG11" s="79">
        <v>17.6357651126646</v>
      </c>
      <c r="AH11" s="79">
        <v>15.734858891242805</v>
      </c>
      <c r="AI11" s="79">
        <v>24.311943254694487</v>
      </c>
      <c r="AJ11" s="79">
        <v>13.430127822403218</v>
      </c>
      <c r="AL11" s="53"/>
    </row>
    <row r="12" spans="1:38" ht="5.25" customHeight="1">
      <c r="A12" s="1">
        <v>7</v>
      </c>
      <c r="C12" s="76"/>
      <c r="D12" s="76"/>
      <c r="E12" s="38"/>
      <c r="G12" s="57">
        <f t="shared" si="0"/>
        <v>7</v>
      </c>
      <c r="AD12" s="76"/>
      <c r="AE12" s="76"/>
      <c r="AF12" s="76"/>
      <c r="AG12" s="76"/>
      <c r="AH12" s="76"/>
      <c r="AI12" s="76"/>
      <c r="AJ12" s="76"/>
    </row>
    <row r="13" spans="1:38">
      <c r="A13" s="1">
        <v>8</v>
      </c>
      <c r="B13" s="6" t="s">
        <v>109</v>
      </c>
      <c r="C13" s="74">
        <f t="shared" si="2"/>
        <v>-256.67572530163108</v>
      </c>
      <c r="D13" s="74">
        <f t="shared" si="3"/>
        <v>-208.03253989325097</v>
      </c>
      <c r="E13" s="37">
        <f>D13/C13-1</f>
        <v>-0.18951221566128751</v>
      </c>
      <c r="G13" s="57">
        <f t="shared" si="0"/>
        <v>8</v>
      </c>
      <c r="H13" s="6" t="s">
        <v>109</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4">
        <f t="shared" si="5"/>
        <v>-326.46387163163115</v>
      </c>
      <c r="AE13" s="74">
        <f t="shared" si="5"/>
        <v>-248.62596084999961</v>
      </c>
      <c r="AF13" s="74">
        <f t="shared" si="5"/>
        <v>-256.67572530163108</v>
      </c>
      <c r="AG13" s="74">
        <v>-323.60366723210336</v>
      </c>
      <c r="AH13" s="74">
        <v>-370.00231048850736</v>
      </c>
      <c r="AI13" s="74">
        <v>-228.49979299767796</v>
      </c>
      <c r="AJ13" s="74">
        <v>-208.03253989325097</v>
      </c>
    </row>
    <row r="14" spans="1:38">
      <c r="A14" s="1">
        <v>9</v>
      </c>
      <c r="B14" s="5" t="s">
        <v>110</v>
      </c>
      <c r="C14" s="77">
        <f t="shared" si="2"/>
        <v>-34.650141210000029</v>
      </c>
      <c r="D14" s="77">
        <f t="shared" si="3"/>
        <v>-29.637286639999957</v>
      </c>
      <c r="E14" s="35">
        <f>+D14/C14-1</f>
        <v>-0.14467053798191631</v>
      </c>
      <c r="G14" s="57">
        <f t="shared" si="0"/>
        <v>9</v>
      </c>
      <c r="H14" s="5" t="s">
        <v>110</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7">
        <v>-36.782159120000003</v>
      </c>
      <c r="AE14" s="77">
        <v>-31.631071659999989</v>
      </c>
      <c r="AF14" s="77">
        <v>-34.650141210000029</v>
      </c>
      <c r="AG14" s="77">
        <v>-38.440342030000004</v>
      </c>
      <c r="AH14" s="77">
        <v>-41.919932799999991</v>
      </c>
      <c r="AI14" s="77">
        <v>-30.538348980000031</v>
      </c>
      <c r="AJ14" s="77">
        <v>-29.637286639999957</v>
      </c>
    </row>
    <row r="15" spans="1:38">
      <c r="A15" s="1">
        <v>10</v>
      </c>
      <c r="B15" s="5" t="s">
        <v>111</v>
      </c>
      <c r="C15" s="77">
        <f t="shared" si="2"/>
        <v>-37.634012129999988</v>
      </c>
      <c r="D15" s="77">
        <f t="shared" si="3"/>
        <v>-50.984763069999957</v>
      </c>
      <c r="E15" s="36">
        <f t="shared" ref="E15:E19" si="6">+D15/C15-1</f>
        <v>0.35475226223242373</v>
      </c>
      <c r="G15" s="57">
        <f t="shared" si="0"/>
        <v>10</v>
      </c>
      <c r="H15" s="5" t="s">
        <v>111</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7">
        <v>-40.373698689999998</v>
      </c>
      <c r="AE15" s="77">
        <v>-37.324889650000003</v>
      </c>
      <c r="AF15" s="77">
        <v>-37.634012129999988</v>
      </c>
      <c r="AG15" s="77">
        <v>-32.855387869999994</v>
      </c>
      <c r="AH15" s="77">
        <v>-72.982813530000016</v>
      </c>
      <c r="AI15" s="77">
        <v>-66.236618530000015</v>
      </c>
      <c r="AJ15" s="77">
        <v>-50.984763069999957</v>
      </c>
    </row>
    <row r="16" spans="1:38">
      <c r="A16" s="1">
        <v>11</v>
      </c>
      <c r="B16" s="5" t="s">
        <v>112</v>
      </c>
      <c r="C16" s="77">
        <f t="shared" si="2"/>
        <v>-135.2557122500001</v>
      </c>
      <c r="D16" s="77">
        <f t="shared" si="3"/>
        <v>-79.244384589999953</v>
      </c>
      <c r="E16" s="36">
        <f t="shared" si="6"/>
        <v>-0.41411432262817505</v>
      </c>
      <c r="G16" s="57">
        <f t="shared" si="0"/>
        <v>11</v>
      </c>
      <c r="H16" s="5" t="s">
        <v>112</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7">
        <v>-150.17607264000003</v>
      </c>
      <c r="AE16" s="77">
        <v>-115.32812763999988</v>
      </c>
      <c r="AF16" s="77">
        <v>-135.2557122500001</v>
      </c>
      <c r="AG16" s="77">
        <v>-178.62920137</v>
      </c>
      <c r="AH16" s="77">
        <v>-163.91900953999996</v>
      </c>
      <c r="AI16" s="77">
        <v>-77.22432807000007</v>
      </c>
      <c r="AJ16" s="77">
        <v>-79.244384589999953</v>
      </c>
    </row>
    <row r="17" spans="1:36">
      <c r="A17" s="1">
        <v>12</v>
      </c>
      <c r="B17" s="5" t="s">
        <v>113</v>
      </c>
      <c r="C17" s="77">
        <f t="shared" si="2"/>
        <v>-5.3518450999999914</v>
      </c>
      <c r="D17" s="77">
        <f t="shared" si="3"/>
        <v>-1.171573740000003</v>
      </c>
      <c r="E17" s="36">
        <f t="shared" si="6"/>
        <v>-0.78108975164471683</v>
      </c>
      <c r="G17" s="57">
        <f t="shared" si="0"/>
        <v>12</v>
      </c>
      <c r="H17" s="5" t="s">
        <v>113</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7">
        <v>-50.793224300000006</v>
      </c>
      <c r="AE17" s="77">
        <v>-7.2131222800000003</v>
      </c>
      <c r="AF17" s="77">
        <v>-5.3518450999999914</v>
      </c>
      <c r="AG17" s="77">
        <v>-7.3668896100000003</v>
      </c>
      <c r="AH17" s="77">
        <v>-8.7086812399999971</v>
      </c>
      <c r="AI17" s="77">
        <v>-4.2798112499999981</v>
      </c>
      <c r="AJ17" s="77">
        <v>-1.171573740000003</v>
      </c>
    </row>
    <row r="18" spans="1:36">
      <c r="A18" s="1">
        <v>13</v>
      </c>
      <c r="B18" s="5" t="s">
        <v>114</v>
      </c>
      <c r="C18" s="77">
        <f t="shared" si="2"/>
        <v>-21.827071390000015</v>
      </c>
      <c r="D18" s="77">
        <f t="shared" si="3"/>
        <v>-19.688287360000004</v>
      </c>
      <c r="E18" s="36">
        <f t="shared" si="6"/>
        <v>-9.7987677402287088E-2</v>
      </c>
      <c r="G18" s="57">
        <f t="shared" si="0"/>
        <v>13</v>
      </c>
      <c r="H18" s="5" t="s">
        <v>114</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7">
        <v>-31.993431799999996</v>
      </c>
      <c r="AE18" s="77">
        <v>-41.567252299999993</v>
      </c>
      <c r="AF18" s="77">
        <v>-21.827071390000015</v>
      </c>
      <c r="AG18" s="77">
        <v>-45.669600989999999</v>
      </c>
      <c r="AH18" s="77">
        <v>-55.675935639999999</v>
      </c>
      <c r="AI18" s="77">
        <v>-22.305689220000012</v>
      </c>
      <c r="AJ18" s="77">
        <v>-19.688287360000004</v>
      </c>
    </row>
    <row r="19" spans="1:36">
      <c r="A19" s="1">
        <v>14</v>
      </c>
      <c r="B19" s="5" t="s">
        <v>115</v>
      </c>
      <c r="C19" s="77">
        <f t="shared" si="2"/>
        <v>-21.956943221630951</v>
      </c>
      <c r="D19" s="77">
        <f t="shared" si="3"/>
        <v>-27.306244493251082</v>
      </c>
      <c r="E19" s="36">
        <f t="shared" si="6"/>
        <v>0.24362686634586961</v>
      </c>
      <c r="G19" s="57">
        <f t="shared" si="0"/>
        <v>14</v>
      </c>
      <c r="H19" s="5" t="s">
        <v>115</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7">
        <v>-16.34528508163109</v>
      </c>
      <c r="AE19" s="77">
        <v>-15.561497319999788</v>
      </c>
      <c r="AF19" s="77">
        <v>-21.956943221630951</v>
      </c>
      <c r="AG19" s="77">
        <v>-20.642245362103388</v>
      </c>
      <c r="AH19" s="77">
        <v>-27.235634568507471</v>
      </c>
      <c r="AI19" s="77">
        <v>-27.914996947677867</v>
      </c>
      <c r="AJ19" s="77">
        <v>-27.306244493251082</v>
      </c>
    </row>
    <row r="20" spans="1:36" ht="5.25" customHeight="1">
      <c r="A20" s="1">
        <v>15</v>
      </c>
      <c r="E20" s="38"/>
      <c r="G20" s="57">
        <f t="shared" si="0"/>
        <v>15</v>
      </c>
    </row>
    <row r="21" spans="1:36">
      <c r="A21" s="1">
        <v>16</v>
      </c>
      <c r="B21" s="6" t="s">
        <v>116</v>
      </c>
      <c r="C21" s="9">
        <f t="shared" si="2"/>
        <v>298.38104528764092</v>
      </c>
      <c r="D21" s="9">
        <f t="shared" si="3"/>
        <v>201.21720279915232</v>
      </c>
      <c r="E21" s="37">
        <f>D21/C21-1</f>
        <v>-0.32563677895431375</v>
      </c>
      <c r="G21" s="57">
        <f t="shared" si="0"/>
        <v>16</v>
      </c>
      <c r="H21" s="6" t="s">
        <v>116</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row>
    <row r="22" spans="1:36" ht="5.25" customHeight="1">
      <c r="A22" s="1">
        <v>17</v>
      </c>
      <c r="E22" s="38"/>
      <c r="G22" s="57">
        <f t="shared" si="0"/>
        <v>17</v>
      </c>
    </row>
    <row r="23" spans="1:36">
      <c r="A23" s="1">
        <v>18</v>
      </c>
      <c r="B23" s="5" t="s">
        <v>117</v>
      </c>
      <c r="C23" s="77">
        <f t="shared" si="2"/>
        <v>-21.867187204425903</v>
      </c>
      <c r="D23" s="77">
        <f t="shared" si="3"/>
        <v>-22.412236887902981</v>
      </c>
      <c r="E23" s="35">
        <f>+D23/C23-1</f>
        <v>2.4925459245474402E-2</v>
      </c>
      <c r="G23" s="57">
        <f t="shared" si="0"/>
        <v>18</v>
      </c>
      <c r="H23" s="5" t="s">
        <v>117</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7">
        <v>-21.183490919894481</v>
      </c>
      <c r="AE23" s="77">
        <v>-20.735013258669198</v>
      </c>
      <c r="AF23" s="77">
        <v>-21.867187204425903</v>
      </c>
      <c r="AG23" s="77">
        <v>-22.214295176369102</v>
      </c>
      <c r="AH23" s="77">
        <v>-23.362683803273899</v>
      </c>
      <c r="AI23" s="77">
        <v>-23.810750728135329</v>
      </c>
      <c r="AJ23" s="77">
        <v>-22.412236887902981</v>
      </c>
    </row>
    <row r="24" spans="1:36">
      <c r="A24" s="1">
        <v>19</v>
      </c>
      <c r="B24" s="5" t="s">
        <v>118</v>
      </c>
      <c r="C24" s="77">
        <f t="shared" si="2"/>
        <v>-16.762059948368872</v>
      </c>
      <c r="D24" s="77">
        <f t="shared" si="3"/>
        <v>-17.964501218992371</v>
      </c>
      <c r="E24" s="35">
        <f>+D24/C24-1</f>
        <v>7.1735888925782643E-2</v>
      </c>
      <c r="G24" s="57">
        <f t="shared" si="0"/>
        <v>19</v>
      </c>
      <c r="H24" s="5" t="s">
        <v>118</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7">
        <v>-13.441127820000059</v>
      </c>
      <c r="AE24" s="77">
        <v>-13.673123019999959</v>
      </c>
      <c r="AF24" s="77">
        <v>-16.762059948368872</v>
      </c>
      <c r="AG24" s="77">
        <v>-16.607401639999985</v>
      </c>
      <c r="AH24" s="77">
        <v>-17.84276506774308</v>
      </c>
      <c r="AI24" s="77">
        <v>-15.310860021401922</v>
      </c>
      <c r="AJ24" s="77">
        <v>-17.964501218992371</v>
      </c>
    </row>
    <row r="25" spans="1:36">
      <c r="A25" s="1">
        <v>20</v>
      </c>
      <c r="B25" s="5" t="s">
        <v>119</v>
      </c>
      <c r="C25" s="77">
        <f t="shared" si="2"/>
        <v>-57.392497615271211</v>
      </c>
      <c r="D25" s="77">
        <f t="shared" si="3"/>
        <v>-55.087872643454496</v>
      </c>
      <c r="E25" s="35">
        <f t="shared" ref="E25" si="9">+D25/C25-1</f>
        <v>-4.0155509301332271E-2</v>
      </c>
      <c r="G25" s="57">
        <f t="shared" si="0"/>
        <v>20</v>
      </c>
      <c r="H25" s="5" t="s">
        <v>119</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7">
        <v>-55.281998485673071</v>
      </c>
      <c r="AE25" s="77">
        <v>-54.018260034138393</v>
      </c>
      <c r="AF25" s="77">
        <v>-57.392497615271211</v>
      </c>
      <c r="AG25" s="77">
        <v>-50.573471804234366</v>
      </c>
      <c r="AH25" s="77">
        <v>-50.337763983271351</v>
      </c>
      <c r="AI25" s="77">
        <v>-49.882055320398415</v>
      </c>
      <c r="AJ25" s="77">
        <v>-55.087872643454496</v>
      </c>
    </row>
    <row r="26" spans="1:36" ht="5.25" customHeight="1">
      <c r="A26" s="1">
        <v>21</v>
      </c>
      <c r="E26" s="38"/>
      <c r="G26" s="57">
        <f t="shared" si="0"/>
        <v>21</v>
      </c>
    </row>
    <row r="27" spans="1:36">
      <c r="A27" s="1">
        <v>22</v>
      </c>
      <c r="B27" s="6" t="s">
        <v>120</v>
      </c>
      <c r="C27" s="9">
        <f t="shared" si="2"/>
        <v>202.35930051957493</v>
      </c>
      <c r="D27" s="9">
        <f t="shared" si="3"/>
        <v>105.7</v>
      </c>
      <c r="E27" s="37">
        <f>D27/C27-1</f>
        <v>-0.47766176435376995</v>
      </c>
      <c r="G27" s="57">
        <f t="shared" si="0"/>
        <v>22</v>
      </c>
      <c r="H27" s="6" t="s">
        <v>120</v>
      </c>
      <c r="I27" s="9">
        <f t="shared" ref="I27:AB27" si="10">I25+I24+I23+I21</f>
        <v>95.228464370000012</v>
      </c>
      <c r="J27" s="9">
        <f t="shared" si="10"/>
        <v>98.105426650000027</v>
      </c>
      <c r="K27" s="9">
        <f t="shared" si="10"/>
        <v>114.49318724999991</v>
      </c>
      <c r="L27" s="9">
        <f t="shared" si="10"/>
        <v>160.81527597999997</v>
      </c>
      <c r="M27" s="9">
        <f t="shared" si="10"/>
        <v>104.95895720999999</v>
      </c>
      <c r="N27" s="9">
        <f t="shared" si="10"/>
        <v>95.177728439999996</v>
      </c>
      <c r="O27" s="9">
        <f t="shared" si="10"/>
        <v>96.846453629999999</v>
      </c>
      <c r="P27" s="9">
        <f t="shared" si="10"/>
        <v>150.14625531999999</v>
      </c>
      <c r="Q27" s="9">
        <f t="shared" si="10"/>
        <v>101.55787685999995</v>
      </c>
      <c r="R27" s="9">
        <f t="shared" si="10"/>
        <v>107.79504349000003</v>
      </c>
      <c r="S27" s="9">
        <f t="shared" si="10"/>
        <v>114.86247155000001</v>
      </c>
      <c r="T27" s="9">
        <f t="shared" si="10"/>
        <v>122.25991159131371</v>
      </c>
      <c r="U27" s="9">
        <f t="shared" si="10"/>
        <v>111.77414360000003</v>
      </c>
      <c r="V27" s="9">
        <f t="shared" si="10"/>
        <v>94.280945699999961</v>
      </c>
      <c r="W27" s="9">
        <f t="shared" si="10"/>
        <v>112.88332715000003</v>
      </c>
      <c r="X27" s="9">
        <f t="shared" si="10"/>
        <v>116.98639696786805</v>
      </c>
      <c r="Y27" s="9">
        <f>Y25+Y24+Y23+Y21</f>
        <v>81.928218009471976</v>
      </c>
      <c r="Z27" s="9">
        <f t="shared" si="10"/>
        <v>94.606332352696029</v>
      </c>
      <c r="AA27" s="9">
        <f t="shared" si="10"/>
        <v>18.88394693551561</v>
      </c>
      <c r="AB27" s="9">
        <f t="shared" si="10"/>
        <v>111.61593706577845</v>
      </c>
      <c r="AC27" s="9">
        <f>AC25+AC24+AC23+AC21</f>
        <v>92.770078490742222</v>
      </c>
      <c r="AD27" s="9">
        <f t="shared" ref="AD27:AI27" si="11">AD25+AD24+AD23+AD21</f>
        <v>97.58089049886361</v>
      </c>
      <c r="AE27" s="9">
        <f t="shared" si="11"/>
        <v>151.12684373941713</v>
      </c>
      <c r="AF27" s="9">
        <f t="shared" si="11"/>
        <v>202.35930051957493</v>
      </c>
      <c r="AG27" s="9">
        <f t="shared" si="11"/>
        <v>141.59086871995822</v>
      </c>
      <c r="AH27" s="9">
        <f t="shared" si="11"/>
        <v>84.460471638447217</v>
      </c>
      <c r="AI27" s="9">
        <f t="shared" si="11"/>
        <v>176.27623552708104</v>
      </c>
      <c r="AJ27" s="9">
        <v>105.7</v>
      </c>
    </row>
    <row r="28" spans="1:36" ht="5.25" customHeight="1">
      <c r="A28" s="1">
        <v>23</v>
      </c>
      <c r="C28" s="47">
        <f t="shared" si="2"/>
        <v>0</v>
      </c>
      <c r="D28" s="47">
        <f t="shared" si="3"/>
        <v>0</v>
      </c>
      <c r="E28" s="38"/>
      <c r="G28" s="57">
        <f t="shared" si="0"/>
        <v>23</v>
      </c>
      <c r="I28" s="47"/>
      <c r="K28" s="47"/>
      <c r="M28" s="47"/>
      <c r="O28" s="47"/>
      <c r="Q28" s="47"/>
      <c r="R28" s="47"/>
      <c r="S28" s="47"/>
      <c r="T28" s="47"/>
      <c r="U28" s="47"/>
      <c r="V28" s="47"/>
      <c r="W28" s="47"/>
      <c r="X28" s="47"/>
      <c r="Y28" s="47"/>
      <c r="Z28" s="47"/>
      <c r="AA28" s="47"/>
      <c r="AB28" s="47"/>
      <c r="AC28" s="47"/>
      <c r="AD28" s="47"/>
      <c r="AE28" s="47"/>
      <c r="AF28" s="47"/>
      <c r="AG28" s="47"/>
      <c r="AH28" s="47"/>
      <c r="AI28" s="47"/>
      <c r="AJ28" s="47"/>
    </row>
    <row r="29" spans="1:36">
      <c r="A29" s="1">
        <v>24</v>
      </c>
      <c r="B29" s="6" t="s">
        <v>121</v>
      </c>
      <c r="C29" s="9">
        <f t="shared" si="2"/>
        <v>259.75179813484618</v>
      </c>
      <c r="D29" s="9">
        <f t="shared" si="3"/>
        <v>160.78787264345451</v>
      </c>
      <c r="E29" s="37">
        <f>D29/C29-1</f>
        <v>-0.38099418830593068</v>
      </c>
      <c r="G29" s="57">
        <f t="shared" si="0"/>
        <v>24</v>
      </c>
      <c r="H29" s="6" t="s">
        <v>121</v>
      </c>
      <c r="I29" s="9">
        <f>+I21+I23+I24</f>
        <v>154.80143864000004</v>
      </c>
      <c r="J29" s="9">
        <f>+J21+J23+J24</f>
        <v>158.47682742000003</v>
      </c>
      <c r="K29" s="9">
        <f>+K21+K23+K24</f>
        <v>174.02438614999991</v>
      </c>
      <c r="L29" s="9">
        <f t="shared" ref="L29:X29" si="12">+L21+L23+L24</f>
        <v>204.82729756999998</v>
      </c>
      <c r="M29" s="9">
        <f t="shared" si="12"/>
        <v>163.57798306000001</v>
      </c>
      <c r="N29" s="9">
        <f t="shared" si="12"/>
        <v>154.00076002999998</v>
      </c>
      <c r="O29" s="9">
        <f t="shared" si="12"/>
        <v>156.33994453</v>
      </c>
      <c r="P29" s="9">
        <f t="shared" si="12"/>
        <v>210.16529512</v>
      </c>
      <c r="Q29" s="9">
        <f t="shared" si="12"/>
        <v>161.57641708999995</v>
      </c>
      <c r="R29" s="9">
        <f t="shared" si="12"/>
        <v>173.76847530000003</v>
      </c>
      <c r="S29" s="9">
        <f t="shared" si="12"/>
        <v>178.71600819</v>
      </c>
      <c r="T29" s="9">
        <f t="shared" si="12"/>
        <v>182.93678496131372</v>
      </c>
      <c r="U29" s="9">
        <f t="shared" si="12"/>
        <v>172.34723633000002</v>
      </c>
      <c r="V29" s="9">
        <f t="shared" si="12"/>
        <v>155.26443031999995</v>
      </c>
      <c r="W29" s="9">
        <f t="shared" si="12"/>
        <v>174.98602269000003</v>
      </c>
      <c r="X29" s="9">
        <f t="shared" si="12"/>
        <v>179.94179880786803</v>
      </c>
      <c r="Y29" s="9">
        <f>+Y21+Y23+Y24</f>
        <v>137.35431132242536</v>
      </c>
      <c r="Z29" s="9">
        <f>+'[1]EERR Cons.'!BO30-'[1]EERR Cons.'!BO28</f>
        <v>146.74054928974263</v>
      </c>
      <c r="AA29" s="9">
        <v>71.8350810880561</v>
      </c>
      <c r="AB29" s="9">
        <v>164.267167127025</v>
      </c>
      <c r="AC29" s="9">
        <f>+AC21+AC23+AC24</f>
        <v>145.59138903727734</v>
      </c>
      <c r="AD29" s="9">
        <f t="shared" ref="AD29:AF29" si="13">+AD21+AD23+AD24</f>
        <v>152.86288898453668</v>
      </c>
      <c r="AE29" s="9">
        <f t="shared" si="13"/>
        <v>205.14510377355552</v>
      </c>
      <c r="AF29" s="9">
        <f t="shared" si="13"/>
        <v>259.75179813484618</v>
      </c>
      <c r="AG29" s="9">
        <v>192.16434052419214</v>
      </c>
      <c r="AH29" s="9">
        <v>134.79823562171856</v>
      </c>
      <c r="AI29" s="9">
        <v>226.15829084747958</v>
      </c>
      <c r="AJ29" s="9">
        <v>160.78787264345451</v>
      </c>
    </row>
    <row r="30" spans="1:36" ht="5.25" customHeight="1">
      <c r="A30" s="1">
        <v>25</v>
      </c>
      <c r="E30" s="38"/>
      <c r="G30" s="57">
        <f t="shared" si="0"/>
        <v>25</v>
      </c>
    </row>
    <row r="31" spans="1:36">
      <c r="A31" s="1">
        <v>26</v>
      </c>
      <c r="B31" s="5" t="s">
        <v>122</v>
      </c>
      <c r="C31" s="77">
        <f t="shared" si="2"/>
        <v>14.91344703571135</v>
      </c>
      <c r="D31" s="77">
        <f t="shared" si="3"/>
        <v>18.48180084000002</v>
      </c>
      <c r="E31" s="35">
        <f t="shared" ref="E31:E46" si="14">+D31/C31-1</f>
        <v>0.23927089396193812</v>
      </c>
      <c r="F31" s="32"/>
      <c r="G31" s="57">
        <f t="shared" si="0"/>
        <v>26</v>
      </c>
      <c r="H31" s="5" t="s">
        <v>122</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7">
        <v>4.2250459843980348</v>
      </c>
      <c r="AE31" s="77">
        <v>7.3874657411628988</v>
      </c>
      <c r="AF31" s="77">
        <v>14.91344703571135</v>
      </c>
      <c r="AG31" s="77">
        <v>15.365280552356621</v>
      </c>
      <c r="AH31" s="77">
        <v>16.451581692819204</v>
      </c>
      <c r="AI31" s="77">
        <v>17.627596034824165</v>
      </c>
      <c r="AJ31" s="77">
        <v>18.48180084000002</v>
      </c>
    </row>
    <row r="32" spans="1:36">
      <c r="A32" s="1">
        <v>27</v>
      </c>
      <c r="B32" s="5" t="s">
        <v>123</v>
      </c>
      <c r="C32" s="77">
        <f t="shared" si="2"/>
        <v>-24.395230660146005</v>
      </c>
      <c r="D32" s="77">
        <f t="shared" si="3"/>
        <v>-19.221141649354195</v>
      </c>
      <c r="E32" s="35">
        <f t="shared" si="14"/>
        <v>-0.2120942852671861</v>
      </c>
      <c r="F32" s="32"/>
      <c r="G32" s="57">
        <f t="shared" si="0"/>
        <v>27</v>
      </c>
      <c r="H32" s="5" t="s">
        <v>123</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7">
        <v>-20.635669950752792</v>
      </c>
      <c r="AE32" s="77">
        <v>-22.785253226507663</v>
      </c>
      <c r="AF32" s="77">
        <v>-24.395230660146005</v>
      </c>
      <c r="AG32" s="77">
        <v>-23.11978156029533</v>
      </c>
      <c r="AH32" s="77">
        <v>-22.06252987141508</v>
      </c>
      <c r="AI32" s="77">
        <v>-21.005091497896338</v>
      </c>
      <c r="AJ32" s="77">
        <v>-19.221141649354195</v>
      </c>
    </row>
    <row r="33" spans="1:36">
      <c r="A33" s="1">
        <v>28</v>
      </c>
      <c r="B33" s="5" t="s">
        <v>124</v>
      </c>
      <c r="C33" s="77">
        <f t="shared" si="2"/>
        <v>10.286615351774458</v>
      </c>
      <c r="D33" s="77">
        <f t="shared" si="3"/>
        <v>-0.51105190962980673</v>
      </c>
      <c r="E33" s="35">
        <f t="shared" si="14"/>
        <v>-1.0496812500665391</v>
      </c>
      <c r="F33" s="32"/>
      <c r="G33" s="57">
        <f t="shared" si="0"/>
        <v>28</v>
      </c>
      <c r="H33" s="5" t="s">
        <v>124</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7">
        <v>-10.969921269768113</v>
      </c>
      <c r="AE33" s="77">
        <v>-3.4658735660401963</v>
      </c>
      <c r="AF33" s="77">
        <v>10.286615351774458</v>
      </c>
      <c r="AG33" s="77">
        <v>0.95713189204547999</v>
      </c>
      <c r="AH33" s="77">
        <v>-3.10953099316851</v>
      </c>
      <c r="AI33" s="77">
        <v>-3.990900343067572</v>
      </c>
      <c r="AJ33" s="77">
        <v>-0.51105190962980673</v>
      </c>
    </row>
    <row r="34" spans="1:36">
      <c r="A34" s="1">
        <v>29</v>
      </c>
      <c r="B34" s="5" t="s">
        <v>125</v>
      </c>
      <c r="C34" s="77">
        <f t="shared" si="2"/>
        <v>3.7476725300000004</v>
      </c>
      <c r="D34" s="77">
        <f t="shared" si="3"/>
        <v>2.9199357299999988</v>
      </c>
      <c r="E34" s="35">
        <f t="shared" si="14"/>
        <v>-0.22086689628669387</v>
      </c>
      <c r="F34" s="32"/>
      <c r="G34" s="57">
        <f t="shared" si="0"/>
        <v>29</v>
      </c>
      <c r="H34" s="5" t="s">
        <v>125</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7">
        <v>2.6078981699999999</v>
      </c>
      <c r="AE34" s="77">
        <v>3.1942974499999992</v>
      </c>
      <c r="AF34" s="77">
        <v>3.7476725300000004</v>
      </c>
      <c r="AG34" s="77">
        <v>4.0273403800000001</v>
      </c>
      <c r="AH34" s="77">
        <v>3.3727477199999996</v>
      </c>
      <c r="AI34" s="77">
        <v>2.8216744500000015</v>
      </c>
      <c r="AJ34" s="77">
        <v>2.9199357299999988</v>
      </c>
    </row>
    <row r="35" spans="1:36">
      <c r="A35" s="1">
        <v>30</v>
      </c>
      <c r="B35" s="5" t="s">
        <v>126</v>
      </c>
      <c r="C35" s="77">
        <f t="shared" si="2"/>
        <v>-26.896185183285258</v>
      </c>
      <c r="D35" s="77">
        <f t="shared" si="3"/>
        <v>-30.108468364107267</v>
      </c>
      <c r="E35" s="35">
        <f t="shared" si="14"/>
        <v>0.11943266894289151</v>
      </c>
      <c r="F35" s="32"/>
      <c r="G35" s="57">
        <f t="shared" si="0"/>
        <v>30</v>
      </c>
      <c r="H35" s="5" t="s">
        <v>126</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7">
        <v>-16.079428069851605</v>
      </c>
      <c r="AE35" s="77">
        <v>-18.482136920774703</v>
      </c>
      <c r="AF35" s="77">
        <v>-26.896185183285258</v>
      </c>
      <c r="AG35" s="77">
        <v>-16.516771290284481</v>
      </c>
      <c r="AH35" s="77">
        <v>94.003499069502809</v>
      </c>
      <c r="AI35" s="77">
        <v>4.081765187940178</v>
      </c>
      <c r="AJ35" s="77">
        <v>-30.108468364107267</v>
      </c>
    </row>
    <row r="36" spans="1:36" ht="5.25" customHeight="1">
      <c r="A36" s="1">
        <v>31</v>
      </c>
      <c r="E36" s="38"/>
      <c r="G36" s="57">
        <f t="shared" si="0"/>
        <v>31</v>
      </c>
    </row>
    <row r="37" spans="1:36">
      <c r="A37" s="1">
        <v>32</v>
      </c>
      <c r="B37" s="6" t="s">
        <v>127</v>
      </c>
      <c r="C37" s="9">
        <f t="shared" si="2"/>
        <v>-22.343680925945456</v>
      </c>
      <c r="D37" s="9">
        <f t="shared" si="3"/>
        <v>-28.43892535309125</v>
      </c>
      <c r="E37" s="67">
        <f t="shared" si="14"/>
        <v>0.27279499950556496</v>
      </c>
      <c r="F37" s="32"/>
      <c r="G37" s="57">
        <f t="shared" si="0"/>
        <v>32</v>
      </c>
      <c r="H37" s="6" t="s">
        <v>127</v>
      </c>
      <c r="I37" s="9">
        <f t="shared" ref="I37:AF37" si="15">SUM(I31:I35)</f>
        <v>-21.011590569999996</v>
      </c>
      <c r="J37" s="9">
        <f t="shared" si="15"/>
        <v>-0.89444493000000058</v>
      </c>
      <c r="K37" s="9">
        <f t="shared" si="15"/>
        <v>-19.058913140000001</v>
      </c>
      <c r="L37" s="9">
        <f t="shared" si="15"/>
        <v>-104.99515563</v>
      </c>
      <c r="M37" s="9">
        <f t="shared" si="15"/>
        <v>-16.91268376</v>
      </c>
      <c r="N37" s="9">
        <f t="shared" si="15"/>
        <v>-31.002756330000008</v>
      </c>
      <c r="O37" s="9">
        <f t="shared" si="15"/>
        <v>-20.165144160000001</v>
      </c>
      <c r="P37" s="9">
        <f t="shared" si="15"/>
        <v>-50.244271350000005</v>
      </c>
      <c r="Q37" s="9">
        <f t="shared" si="15"/>
        <v>-15.195531940000002</v>
      </c>
      <c r="R37" s="9">
        <f t="shared" si="15"/>
        <v>-27.385603370000002</v>
      </c>
      <c r="S37" s="9">
        <f t="shared" si="15"/>
        <v>-33.534353119999999</v>
      </c>
      <c r="T37" s="9">
        <f t="shared" si="15"/>
        <v>-100.25777028</v>
      </c>
      <c r="U37" s="9">
        <f t="shared" si="15"/>
        <v>-49.377285399999998</v>
      </c>
      <c r="V37" s="9">
        <f t="shared" si="15"/>
        <v>-22.110786490000002</v>
      </c>
      <c r="W37" s="9">
        <f t="shared" si="15"/>
        <v>-24.846660460000006</v>
      </c>
      <c r="X37" s="9">
        <f t="shared" si="15"/>
        <v>-207.38689343693545</v>
      </c>
      <c r="Y37" s="9">
        <f t="shared" si="15"/>
        <v>-43.865903973024921</v>
      </c>
      <c r="Z37" s="9">
        <f t="shared" si="15"/>
        <v>-40.325632815730714</v>
      </c>
      <c r="AA37" s="9">
        <f t="shared" si="15"/>
        <v>784.41152487000602</v>
      </c>
      <c r="AB37" s="9">
        <f t="shared" si="15"/>
        <v>-182.08031974939854</v>
      </c>
      <c r="AC37" s="9">
        <f t="shared" si="15"/>
        <v>-30.500634556358893</v>
      </c>
      <c r="AD37" s="9">
        <f t="shared" si="15"/>
        <v>-40.852075135974474</v>
      </c>
      <c r="AE37" s="9">
        <f t="shared" si="15"/>
        <v>-34.151500522159665</v>
      </c>
      <c r="AF37" s="9">
        <f t="shared" si="15"/>
        <v>-22.343680925945456</v>
      </c>
      <c r="AG37" s="9">
        <v>-19.286800026177708</v>
      </c>
      <c r="AH37" s="9">
        <v>88.65576761773842</v>
      </c>
      <c r="AI37" s="9">
        <v>-0.46495616983959565</v>
      </c>
      <c r="AJ37" s="9">
        <v>-28.43892535309125</v>
      </c>
    </row>
    <row r="38" spans="1:36" ht="5.25" customHeight="1">
      <c r="A38" s="1">
        <v>33</v>
      </c>
      <c r="E38" s="71"/>
      <c r="G38" s="57">
        <f t="shared" si="0"/>
        <v>33</v>
      </c>
    </row>
    <row r="39" spans="1:36">
      <c r="A39" s="1">
        <v>34</v>
      </c>
      <c r="B39" s="6" t="s">
        <v>128</v>
      </c>
      <c r="C39" s="9">
        <f t="shared" si="2"/>
        <v>180.01561959362948</v>
      </c>
      <c r="D39" s="9">
        <f t="shared" si="3"/>
        <v>77.261074646908753</v>
      </c>
      <c r="E39" s="67">
        <f t="shared" si="14"/>
        <v>-0.57080905078504129</v>
      </c>
      <c r="F39" s="32"/>
      <c r="G39" s="57">
        <f t="shared" si="0"/>
        <v>34</v>
      </c>
      <c r="H39" s="6" t="s">
        <v>128</v>
      </c>
      <c r="I39" s="9">
        <f t="shared" ref="I39:AF39" si="16">I37+I27</f>
        <v>74.216873800000016</v>
      </c>
      <c r="J39" s="9">
        <f t="shared" si="16"/>
        <v>97.210981720000021</v>
      </c>
      <c r="K39" s="9">
        <f t="shared" si="16"/>
        <v>95.434274109999905</v>
      </c>
      <c r="L39" s="9">
        <f t="shared" si="16"/>
        <v>55.820120349999968</v>
      </c>
      <c r="M39" s="9">
        <f t="shared" si="16"/>
        <v>88.046273450000001</v>
      </c>
      <c r="N39" s="9">
        <f t="shared" si="16"/>
        <v>64.174972109999985</v>
      </c>
      <c r="O39" s="9">
        <f t="shared" si="16"/>
        <v>76.681309470000002</v>
      </c>
      <c r="P39" s="9">
        <f t="shared" si="16"/>
        <v>99.901983969999989</v>
      </c>
      <c r="Q39" s="9">
        <f t="shared" si="16"/>
        <v>86.362344919999941</v>
      </c>
      <c r="R39" s="9">
        <f t="shared" si="16"/>
        <v>80.409440120000028</v>
      </c>
      <c r="S39" s="9">
        <f t="shared" si="16"/>
        <v>81.328118430000018</v>
      </c>
      <c r="T39" s="9">
        <f t="shared" si="16"/>
        <v>22.002141311313707</v>
      </c>
      <c r="U39" s="9">
        <f t="shared" si="16"/>
        <v>62.396858200000032</v>
      </c>
      <c r="V39" s="9">
        <f t="shared" si="16"/>
        <v>72.170159209999952</v>
      </c>
      <c r="W39" s="9">
        <f t="shared" si="16"/>
        <v>88.036666690000018</v>
      </c>
      <c r="X39" s="9">
        <f t="shared" si="16"/>
        <v>-90.400496469067406</v>
      </c>
      <c r="Y39" s="9">
        <f t="shared" si="16"/>
        <v>38.062314036447056</v>
      </c>
      <c r="Z39" s="9">
        <f t="shared" si="16"/>
        <v>54.280699536965315</v>
      </c>
      <c r="AA39" s="9">
        <f t="shared" si="16"/>
        <v>803.29547180552163</v>
      </c>
      <c r="AB39" s="9">
        <f t="shared" si="16"/>
        <v>-70.464382683620087</v>
      </c>
      <c r="AC39" s="9">
        <f t="shared" si="16"/>
        <v>62.269443934383332</v>
      </c>
      <c r="AD39" s="9">
        <f t="shared" si="16"/>
        <v>56.728815362889137</v>
      </c>
      <c r="AE39" s="9">
        <f t="shared" si="16"/>
        <v>116.97534321725746</v>
      </c>
      <c r="AF39" s="9">
        <f t="shared" si="16"/>
        <v>180.01561959362948</v>
      </c>
      <c r="AG39" s="9">
        <v>122.30406869378007</v>
      </c>
      <c r="AH39" s="9">
        <v>173.11623925618562</v>
      </c>
      <c r="AI39" s="9">
        <v>175.81127935724157</v>
      </c>
      <c r="AJ39" s="9">
        <v>77.261074646908753</v>
      </c>
    </row>
    <row r="40" spans="1:36" ht="5.25" customHeight="1">
      <c r="A40" s="1">
        <v>35</v>
      </c>
      <c r="E40" s="71"/>
      <c r="G40" s="57">
        <f t="shared" si="0"/>
        <v>35</v>
      </c>
    </row>
    <row r="41" spans="1:36">
      <c r="A41" s="1">
        <v>36</v>
      </c>
      <c r="B41" s="5" t="s">
        <v>129</v>
      </c>
      <c r="C41" s="77">
        <f t="shared" si="2"/>
        <v>-43.801853936794899</v>
      </c>
      <c r="D41" s="77">
        <f t="shared" si="3"/>
        <v>-21.02666435082407</v>
      </c>
      <c r="E41" s="48">
        <f t="shared" si="14"/>
        <v>-0.51995948890279675</v>
      </c>
      <c r="F41" s="32"/>
      <c r="G41" s="57">
        <f t="shared" si="0"/>
        <v>36</v>
      </c>
      <c r="H41" s="5" t="s">
        <v>129</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7">
        <v>-19.026564867421037</v>
      </c>
      <c r="AE41" s="77">
        <v>-36.315230687438586</v>
      </c>
      <c r="AF41" s="77">
        <v>-43.801853936794899</v>
      </c>
      <c r="AG41" s="77">
        <v>-30.363846805485231</v>
      </c>
      <c r="AH41" s="77">
        <v>-41.897685534137572</v>
      </c>
      <c r="AI41" s="77">
        <v>-51.413406697886153</v>
      </c>
      <c r="AJ41" s="77">
        <v>-21.02666435082407</v>
      </c>
    </row>
    <row r="42" spans="1:36" ht="6.75" customHeight="1">
      <c r="A42" s="1">
        <v>37</v>
      </c>
      <c r="E42" s="71"/>
      <c r="G42" s="57">
        <f t="shared" si="0"/>
        <v>37</v>
      </c>
    </row>
    <row r="43" spans="1:36">
      <c r="A43" s="1">
        <v>38</v>
      </c>
      <c r="B43" s="3" t="s">
        <v>130</v>
      </c>
      <c r="C43" s="16">
        <f t="shared" si="2"/>
        <v>136.2137656568346</v>
      </c>
      <c r="D43" s="16">
        <f t="shared" si="3"/>
        <v>56.234410296084683</v>
      </c>
      <c r="E43" s="49">
        <f t="shared" si="14"/>
        <v>-0.58716059258095188</v>
      </c>
      <c r="F43" s="32"/>
      <c r="G43" s="57">
        <f t="shared" si="0"/>
        <v>38</v>
      </c>
      <c r="H43" s="3" t="s">
        <v>130</v>
      </c>
      <c r="I43" s="10">
        <f t="shared" ref="I43:AF43" si="17">I39+I41</f>
        <v>60.521821480000014</v>
      </c>
      <c r="J43" s="10">
        <f t="shared" si="17"/>
        <v>78.328132860000025</v>
      </c>
      <c r="K43" s="10">
        <f t="shared" si="17"/>
        <v>70.210792779999906</v>
      </c>
      <c r="L43" s="10">
        <f t="shared" si="17"/>
        <v>79.54130951999997</v>
      </c>
      <c r="M43" s="10">
        <f t="shared" si="17"/>
        <v>64.406698590000005</v>
      </c>
      <c r="N43" s="10">
        <f t="shared" si="17"/>
        <v>44.764812869999986</v>
      </c>
      <c r="O43" s="10">
        <f t="shared" si="17"/>
        <v>53.879768609999999</v>
      </c>
      <c r="P43" s="10">
        <f t="shared" si="17"/>
        <v>67.335081529999997</v>
      </c>
      <c r="Q43" s="10">
        <f t="shared" si="17"/>
        <v>66.334570689999936</v>
      </c>
      <c r="R43" s="10">
        <f t="shared" si="17"/>
        <v>61.375151090000031</v>
      </c>
      <c r="S43" s="10">
        <f t="shared" si="17"/>
        <v>54.692565890000019</v>
      </c>
      <c r="T43" s="10">
        <f t="shared" si="17"/>
        <v>19.483411101313706</v>
      </c>
      <c r="U43" s="10">
        <f t="shared" si="17"/>
        <v>40.459675610000033</v>
      </c>
      <c r="V43" s="10">
        <f t="shared" si="17"/>
        <v>49.667237199999953</v>
      </c>
      <c r="W43" s="10">
        <f t="shared" si="17"/>
        <v>62.207152130000019</v>
      </c>
      <c r="X43" s="16">
        <f>X39+X41</f>
        <v>-62.882355463006213</v>
      </c>
      <c r="Y43" s="16">
        <f t="shared" si="17"/>
        <v>-41.216113527428398</v>
      </c>
      <c r="Z43" s="16">
        <f t="shared" si="17"/>
        <v>32.884941470840772</v>
      </c>
      <c r="AA43" s="16">
        <f t="shared" si="17"/>
        <v>600.9009453321911</v>
      </c>
      <c r="AB43" s="16">
        <f t="shared" si="17"/>
        <v>-52.387831588563458</v>
      </c>
      <c r="AC43" s="16">
        <f t="shared" si="17"/>
        <v>55.879963771958522</v>
      </c>
      <c r="AD43" s="16">
        <f t="shared" si="17"/>
        <v>37.7022504954681</v>
      </c>
      <c r="AE43" s="16">
        <f t="shared" si="17"/>
        <v>80.660112529818875</v>
      </c>
      <c r="AF43" s="16">
        <f t="shared" si="17"/>
        <v>136.2137656568346</v>
      </c>
      <c r="AG43" s="16">
        <v>91.940221888294843</v>
      </c>
      <c r="AH43" s="16">
        <v>131.21855372204806</v>
      </c>
      <c r="AI43" s="16">
        <v>124.397872659355</v>
      </c>
      <c r="AJ43" s="16">
        <f>AJ39+AJ41</f>
        <v>56.234410296084683</v>
      </c>
    </row>
    <row r="44" spans="1:36" ht="5.25" customHeight="1">
      <c r="A44" s="1">
        <v>39</v>
      </c>
      <c r="E44" s="81"/>
      <c r="G44" s="57">
        <f t="shared" si="0"/>
        <v>39</v>
      </c>
    </row>
    <row r="45" spans="1:36">
      <c r="A45" s="1">
        <v>40</v>
      </c>
      <c r="B45" s="5" t="s">
        <v>131</v>
      </c>
      <c r="C45" s="77">
        <f t="shared" si="2"/>
        <v>128.93079988683485</v>
      </c>
      <c r="D45" s="77">
        <f t="shared" si="3"/>
        <v>53.90798612488706</v>
      </c>
      <c r="E45" s="48">
        <f t="shared" si="14"/>
        <v>-0.58188434282418799</v>
      </c>
      <c r="F45" s="32"/>
      <c r="G45" s="57">
        <f t="shared" si="0"/>
        <v>40</v>
      </c>
      <c r="H45" s="5" t="s">
        <v>131</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7">
        <v>38.84162958546812</v>
      </c>
      <c r="AE45" s="77">
        <v>80.567399019818879</v>
      </c>
      <c r="AF45" s="77">
        <v>128.93079988683485</v>
      </c>
      <c r="AG45" s="77">
        <v>87.862860418294744</v>
      </c>
      <c r="AH45" s="77">
        <v>133.9</v>
      </c>
      <c r="AI45" s="77">
        <v>117.71745612786282</v>
      </c>
      <c r="AJ45" s="77">
        <v>53.90798612488706</v>
      </c>
    </row>
    <row r="46" spans="1:36">
      <c r="A46" s="1">
        <v>41</v>
      </c>
      <c r="B46" s="5" t="s">
        <v>132</v>
      </c>
      <c r="C46" s="77">
        <f t="shared" si="2"/>
        <v>7.2829657699999997</v>
      </c>
      <c r="D46" s="77">
        <f t="shared" si="3"/>
        <v>2.3070095899999998</v>
      </c>
      <c r="E46" s="48">
        <f t="shared" si="14"/>
        <v>-0.68323212509071007</v>
      </c>
      <c r="F46" s="32"/>
      <c r="G46" s="57">
        <f t="shared" si="0"/>
        <v>41</v>
      </c>
      <c r="H46" s="5" t="s">
        <v>132</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7">
        <v>-1.1350231899999992</v>
      </c>
      <c r="AE46" s="77">
        <v>9.2713509999999388E-2</v>
      </c>
      <c r="AF46" s="77">
        <v>7.2829657699999997</v>
      </c>
      <c r="AG46" s="77">
        <v>4.0773614700000005</v>
      </c>
      <c r="AH46" s="77">
        <v>-2.7175260300000006</v>
      </c>
      <c r="AI46" s="77">
        <v>6.65</v>
      </c>
      <c r="AJ46" s="77">
        <v>2.3070095899999998</v>
      </c>
    </row>
    <row r="47" spans="1:36">
      <c r="C47" s="81"/>
      <c r="D47" s="81"/>
    </row>
    <row r="48" spans="1:36">
      <c r="I48" s="32"/>
      <c r="J48" s="32"/>
      <c r="K48" s="32"/>
      <c r="L48" s="32"/>
      <c r="M48" s="32"/>
      <c r="N48" s="32"/>
      <c r="O48" s="32"/>
      <c r="S48" s="32"/>
      <c r="T48" s="32"/>
      <c r="U48" s="32"/>
      <c r="V48" s="32"/>
      <c r="W48" s="32"/>
      <c r="X48" s="32"/>
      <c r="Y48" s="32"/>
      <c r="Z48" s="32"/>
      <c r="AA48" s="32"/>
      <c r="AB48" s="32"/>
      <c r="AC48" s="32"/>
    </row>
    <row r="49" spans="2:5" ht="76.5" customHeight="1">
      <c r="B49" s="109" t="s">
        <v>133</v>
      </c>
      <c r="C49" s="109"/>
      <c r="D49" s="109"/>
      <c r="E49" s="109"/>
    </row>
    <row r="50" spans="2:5" ht="207" customHeight="1">
      <c r="B50" s="109"/>
      <c r="C50" s="109"/>
      <c r="D50" s="109"/>
      <c r="E50" s="109"/>
    </row>
  </sheetData>
  <mergeCells count="33">
    <mergeCell ref="AJ6:AJ7"/>
    <mergeCell ref="AI6:AI7"/>
    <mergeCell ref="AH6:AH7"/>
    <mergeCell ref="N6:N7"/>
    <mergeCell ref="Y6:Y7"/>
    <mergeCell ref="W6:W7"/>
    <mergeCell ref="V6:V7"/>
    <mergeCell ref="X6:X7"/>
    <mergeCell ref="T6:T7"/>
    <mergeCell ref="U6:U7"/>
    <mergeCell ref="AA6:AA7"/>
    <mergeCell ref="Z6:Z7"/>
    <mergeCell ref="AD6:AD7"/>
    <mergeCell ref="AC6:AC7"/>
    <mergeCell ref="AG6:AG7"/>
    <mergeCell ref="AF6:AF7"/>
    <mergeCell ref="AE6:AE7"/>
    <mergeCell ref="AB6:AB7"/>
    <mergeCell ref="K6:K7"/>
    <mergeCell ref="L6:L7"/>
    <mergeCell ref="M6:M7"/>
    <mergeCell ref="O6:O7"/>
    <mergeCell ref="S6:S7"/>
    <mergeCell ref="R6:R7"/>
    <mergeCell ref="P6:P7"/>
    <mergeCell ref="Q6:Q7"/>
    <mergeCell ref="B50:E50"/>
    <mergeCell ref="I6:I7"/>
    <mergeCell ref="J6:J7"/>
    <mergeCell ref="C6:C7"/>
    <mergeCell ref="D6:D7"/>
    <mergeCell ref="E6:E7"/>
    <mergeCell ref="B49:E49"/>
  </mergeCells>
  <phoneticPr fontId="14" type="noConversion"/>
  <pageMargins left="0.7" right="0.7" top="0.75" bottom="0.75" header="0.3" footer="0.3"/>
  <pageSetup orientation="portrait" r:id="rId1"/>
  <ignoredErrors>
    <ignoredError sqref="P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4:AX49"/>
  <sheetViews>
    <sheetView topLeftCell="B1" zoomScale="86" zoomScaleNormal="86" workbookViewId="0">
      <selection activeCell="E23" sqref="E23"/>
    </sheetView>
  </sheetViews>
  <sheetFormatPr defaultColWidth="11.453125" defaultRowHeight="13.5"/>
  <cols>
    <col min="1" max="1" width="11.453125" style="1" hidden="1" customWidth="1"/>
    <col min="2" max="2" width="57" style="1" customWidth="1"/>
    <col min="3" max="4" width="11.453125" style="1"/>
    <col min="5" max="6" width="11.453125" style="1" customWidth="1"/>
    <col min="7" max="7" width="11.453125" style="57"/>
    <col min="8" max="8" width="60.7265625" style="1" customWidth="1"/>
    <col min="9" max="20" width="11.453125" style="1" hidden="1" customWidth="1"/>
    <col min="21" max="26" width="15" style="1" hidden="1" customWidth="1"/>
    <col min="27" max="43" width="11.453125" style="1" hidden="1" customWidth="1"/>
    <col min="44" max="46" width="11.453125" style="1" customWidth="1"/>
    <col min="47" max="16384" width="11.453125" style="1"/>
  </cols>
  <sheetData>
    <row r="4" spans="1:50"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5" spans="1:50" ht="8.25" customHeight="1"/>
    <row r="6" spans="1:50">
      <c r="A6" s="1">
        <v>1</v>
      </c>
      <c r="B6" s="3" t="s">
        <v>134</v>
      </c>
      <c r="C6" s="108" t="s">
        <v>43</v>
      </c>
      <c r="D6" s="108" t="s">
        <v>44</v>
      </c>
      <c r="E6" s="108" t="s">
        <v>45</v>
      </c>
      <c r="G6" s="57">
        <v>1</v>
      </c>
      <c r="H6" s="3" t="s">
        <v>134</v>
      </c>
      <c r="I6" s="108" t="s">
        <v>47</v>
      </c>
      <c r="J6" s="108" t="s">
        <v>48</v>
      </c>
      <c r="K6" s="108" t="s">
        <v>49</v>
      </c>
      <c r="L6" s="108" t="s">
        <v>50</v>
      </c>
      <c r="M6" s="108" t="s">
        <v>51</v>
      </c>
      <c r="N6" s="108" t="s">
        <v>52</v>
      </c>
      <c r="O6" s="108" t="s">
        <v>53</v>
      </c>
      <c r="P6" s="108" t="s">
        <v>54</v>
      </c>
      <c r="Q6" s="108" t="s">
        <v>55</v>
      </c>
      <c r="R6" s="108" t="s">
        <v>56</v>
      </c>
      <c r="S6" s="108" t="s">
        <v>57</v>
      </c>
      <c r="T6" s="108" t="s">
        <v>58</v>
      </c>
      <c r="U6" s="108" t="s">
        <v>59</v>
      </c>
      <c r="V6" s="108" t="s">
        <v>60</v>
      </c>
      <c r="W6" s="108" t="s">
        <v>61</v>
      </c>
      <c r="X6" s="108" t="s">
        <v>62</v>
      </c>
      <c r="Y6" s="108" t="s">
        <v>63</v>
      </c>
      <c r="Z6" s="108" t="s">
        <v>64</v>
      </c>
      <c r="AA6" s="108" t="s">
        <v>65</v>
      </c>
      <c r="AB6" s="108" t="s">
        <v>66</v>
      </c>
      <c r="AC6" s="108" t="s">
        <v>67</v>
      </c>
      <c r="AD6" s="108" t="s">
        <v>68</v>
      </c>
      <c r="AE6" s="108" t="s">
        <v>69</v>
      </c>
      <c r="AF6" s="108" t="s">
        <v>70</v>
      </c>
      <c r="AG6" s="108" t="s">
        <v>71</v>
      </c>
      <c r="AH6" s="108" t="s">
        <v>72</v>
      </c>
      <c r="AI6" s="108" t="s">
        <v>73</v>
      </c>
      <c r="AJ6" s="108" t="s">
        <v>74</v>
      </c>
      <c r="AK6" s="108" t="s">
        <v>75</v>
      </c>
      <c r="AL6" s="108" t="s">
        <v>76</v>
      </c>
      <c r="AM6" s="108" t="s">
        <v>77</v>
      </c>
      <c r="AN6" s="108" t="s">
        <v>78</v>
      </c>
      <c r="AO6" s="108" t="s">
        <v>79</v>
      </c>
      <c r="AP6" s="108" t="s">
        <v>80</v>
      </c>
      <c r="AQ6" s="108" t="s">
        <v>81</v>
      </c>
      <c r="AR6" s="108" t="s">
        <v>43</v>
      </c>
      <c r="AS6" s="108" t="s">
        <v>82</v>
      </c>
      <c r="AT6" s="108" t="s">
        <v>83</v>
      </c>
      <c r="AU6" s="108" t="s">
        <v>84</v>
      </c>
      <c r="AV6" s="108" t="s">
        <v>44</v>
      </c>
    </row>
    <row r="7" spans="1:50">
      <c r="A7" s="1">
        <v>2</v>
      </c>
      <c r="B7" s="3" t="s">
        <v>105</v>
      </c>
      <c r="C7" s="108"/>
      <c r="D7" s="108"/>
      <c r="E7" s="108"/>
      <c r="G7" s="57">
        <f>G6+1</f>
        <v>2</v>
      </c>
      <c r="H7" s="3" t="s">
        <v>105</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row>
    <row r="8" spans="1:50" ht="5.25" customHeight="1">
      <c r="A8" s="1">
        <v>3</v>
      </c>
      <c r="G8" s="57">
        <f t="shared" ref="G8:G23" si="0">G7+1</f>
        <v>3</v>
      </c>
    </row>
    <row r="9" spans="1:50">
      <c r="A9" s="1">
        <v>4</v>
      </c>
      <c r="B9" s="5" t="s">
        <v>122</v>
      </c>
      <c r="C9" s="8">
        <f>HLOOKUP($C$6,$H$6:$BU$23,$G9,FALSE)</f>
        <v>14.798231445711348</v>
      </c>
      <c r="D9" s="8">
        <f>HLOOKUP($D$6,$H$6:$BU$23,$G9,FALSE)</f>
        <v>18.220798819999985</v>
      </c>
      <c r="E9" s="48">
        <f t="shared" ref="E9:E13" si="1">+D9/C9-1</f>
        <v>0.23128218982414461</v>
      </c>
      <c r="G9" s="57">
        <f t="shared" si="0"/>
        <v>4</v>
      </c>
      <c r="H9" s="5" t="s">
        <v>122</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v>16.219664062819206</v>
      </c>
      <c r="AU9" s="8">
        <f>17.6275960348242-AU33</f>
        <v>17.140367324824201</v>
      </c>
      <c r="AV9" s="8">
        <v>18.220798819999985</v>
      </c>
      <c r="AW9" s="47"/>
      <c r="AX9" s="47"/>
    </row>
    <row r="10" spans="1:50">
      <c r="A10" s="1">
        <v>5</v>
      </c>
      <c r="B10" s="5" t="s">
        <v>123</v>
      </c>
      <c r="C10" s="8">
        <f>HLOOKUP($C$6,$H$6:$BU$23,$G10,FALSE)</f>
        <v>-18.936528970145986</v>
      </c>
      <c r="D10" s="8">
        <f>HLOOKUP($D$6,$H$6:$BU$23,$G10,FALSE)</f>
        <v>-13.926444329354201</v>
      </c>
      <c r="E10" s="48">
        <f t="shared" si="1"/>
        <v>-0.26457249101407843</v>
      </c>
      <c r="G10" s="57">
        <f t="shared" si="0"/>
        <v>5</v>
      </c>
      <c r="H10" s="5" t="s">
        <v>123</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v>-16.642867281415082</v>
      </c>
      <c r="AU10" s="8">
        <f>-21.0050914995364-AU34</f>
        <v>-15.010323759536405</v>
      </c>
      <c r="AV10" s="8">
        <v>-13.926444329354201</v>
      </c>
      <c r="AW10" s="47"/>
      <c r="AX10" s="47"/>
    </row>
    <row r="11" spans="1:50">
      <c r="A11" s="1">
        <v>6</v>
      </c>
      <c r="B11" s="5" t="s">
        <v>124</v>
      </c>
      <c r="C11" s="8">
        <f>HLOOKUP($C$6,$H$6:$BU$23,$G11,FALSE)</f>
        <v>9.3632037117744531</v>
      </c>
      <c r="D11" s="8">
        <f>HLOOKUP($D$6,$H$6:$BU$23,$G11,FALSE)</f>
        <v>-0.8281157996298063</v>
      </c>
      <c r="E11" s="48" t="s">
        <v>101</v>
      </c>
      <c r="G11" s="57">
        <f t="shared" si="0"/>
        <v>6</v>
      </c>
      <c r="H11" s="5" t="s">
        <v>124</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v>-4.6967425531685052</v>
      </c>
      <c r="AU11" s="8">
        <f>-3.99090034306757-AU35</f>
        <v>-1.9739785330675694</v>
      </c>
      <c r="AV11" s="8">
        <v>-0.8281157996298063</v>
      </c>
      <c r="AW11" s="47"/>
      <c r="AX11" s="47"/>
    </row>
    <row r="12" spans="1:50">
      <c r="A12" s="1">
        <v>7</v>
      </c>
      <c r="B12" s="5" t="s">
        <v>125</v>
      </c>
      <c r="C12" s="8">
        <f>HLOOKUP($C$6,$H$6:$BU$23,$G12,FALSE)</f>
        <v>3.7476725300000004</v>
      </c>
      <c r="D12" s="8">
        <f>HLOOKUP($D$6,$H$6:$BU$23,$G12,FALSE)</f>
        <v>2.9199357299999988</v>
      </c>
      <c r="E12" s="48">
        <f t="shared" si="1"/>
        <v>-0.22086689628669387</v>
      </c>
      <c r="G12" s="57">
        <f t="shared" si="0"/>
        <v>7</v>
      </c>
      <c r="H12" s="5" t="s">
        <v>125</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v>3.3727477199999996</v>
      </c>
      <c r="AU12" s="8">
        <f>2.82167445</f>
        <v>2.8216744500000002</v>
      </c>
      <c r="AV12" s="8">
        <v>2.9199357299999988</v>
      </c>
      <c r="AW12" s="47"/>
      <c r="AX12" s="47"/>
    </row>
    <row r="13" spans="1:50">
      <c r="A13" s="1">
        <v>8</v>
      </c>
      <c r="B13" s="5" t="s">
        <v>126</v>
      </c>
      <c r="C13" s="8">
        <f>HLOOKUP($C$6,$H$6:$BU$23,$G13,FALSE)</f>
        <v>-24.480819553285279</v>
      </c>
      <c r="D13" s="8">
        <f>HLOOKUP($D$6,$H$6:$BU$23,$G13,FALSE)</f>
        <v>-27.041849934107219</v>
      </c>
      <c r="E13" s="48">
        <f t="shared" si="1"/>
        <v>0.10461375180874022</v>
      </c>
      <c r="G13" s="57">
        <f t="shared" si="0"/>
        <v>8</v>
      </c>
      <c r="H13" s="5" t="s">
        <v>126</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v>96.015897539502802</v>
      </c>
      <c r="AU13" s="8">
        <f>4.08176518794018-AU36</f>
        <v>6.4755275779401789</v>
      </c>
      <c r="AV13" s="8">
        <v>-27.041849934107219</v>
      </c>
      <c r="AW13" s="47"/>
      <c r="AX13" s="47"/>
    </row>
    <row r="14" spans="1:50" ht="5.25" customHeight="1">
      <c r="A14" s="1">
        <v>9</v>
      </c>
      <c r="E14" s="38"/>
      <c r="G14" s="57">
        <f t="shared" si="0"/>
        <v>9</v>
      </c>
      <c r="AW14" s="47"/>
      <c r="AX14" s="47"/>
    </row>
    <row r="15" spans="1:50">
      <c r="A15" s="1">
        <v>10</v>
      </c>
      <c r="B15" s="6" t="s">
        <v>127</v>
      </c>
      <c r="C15" s="9">
        <f t="shared" ref="C15:C23" si="2">HLOOKUP($C$6,$H$6:$BU$23,$G15,FALSE)</f>
        <v>-15.508240835945463</v>
      </c>
      <c r="D15" s="9">
        <f t="shared" ref="D15:D23" si="3">HLOOKUP($D$6,$H$6:$BU$23,$G15,FALSE)</f>
        <v>-20.655675513091239</v>
      </c>
      <c r="E15" s="67">
        <f t="shared" ref="E15:E23" si="4">+D15/C15-1</f>
        <v>0.33191609103818531</v>
      </c>
      <c r="G15" s="57">
        <f t="shared" si="0"/>
        <v>10</v>
      </c>
      <c r="H15" s="6" t="s">
        <v>127</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5">SUM(Y9:Y13)</f>
        <v>-12.443038860000001</v>
      </c>
      <c r="Z15" s="9">
        <f t="shared" si="5"/>
        <v>-25.462410850000005</v>
      </c>
      <c r="AA15" s="9">
        <f t="shared" si="5"/>
        <v>-14.737552370000003</v>
      </c>
      <c r="AB15" s="9">
        <f t="shared" si="5"/>
        <v>-44.944271349999994</v>
      </c>
      <c r="AC15" s="9">
        <f>SUM(AC9:AC13)</f>
        <v>-15.2278413</v>
      </c>
      <c r="AD15" s="9">
        <f t="shared" si="5"/>
        <v>-17.997345240000001</v>
      </c>
      <c r="AE15" s="9">
        <f t="shared" si="5"/>
        <v>-23.310579799999999</v>
      </c>
      <c r="AF15" s="9">
        <f t="shared" si="5"/>
        <v>-93.356927600000006</v>
      </c>
      <c r="AG15" s="9">
        <f>SUM(AG9:AG13)</f>
        <v>-49.377285399999998</v>
      </c>
      <c r="AH15" s="9">
        <f t="shared" si="5"/>
        <v>-12.911768689999999</v>
      </c>
      <c r="AI15" s="9">
        <f t="shared" ref="AI15:AT15" si="6">SUM(AI9:AI13)</f>
        <v>-18.343538010000007</v>
      </c>
      <c r="AJ15" s="9">
        <f t="shared" si="6"/>
        <v>-20.672808236935449</v>
      </c>
      <c r="AK15" s="9">
        <f t="shared" si="6"/>
        <v>-36.077653113024901</v>
      </c>
      <c r="AL15" s="9">
        <f t="shared" si="6"/>
        <v>-33.462068015730701</v>
      </c>
      <c r="AM15" s="9">
        <f t="shared" si="6"/>
        <v>799.09281796000573</v>
      </c>
      <c r="AN15" s="9">
        <f t="shared" si="6"/>
        <v>-176.04105226939856</v>
      </c>
      <c r="AO15" s="9">
        <f t="shared" si="6"/>
        <v>-23.90028385635889</v>
      </c>
      <c r="AP15" s="9">
        <f t="shared" ref="AP15" si="7">SUM(AP9:AP13)</f>
        <v>-31.275214555974479</v>
      </c>
      <c r="AQ15" s="9">
        <f t="shared" si="6"/>
        <v>-26.169999999999995</v>
      </c>
      <c r="AR15" s="9">
        <f>SUM(AR9:AR13)</f>
        <v>-15.508240835945463</v>
      </c>
      <c r="AS15" s="9">
        <f t="shared" si="6"/>
        <v>-12.089963466177705</v>
      </c>
      <c r="AT15" s="9">
        <f t="shared" si="6"/>
        <v>94.268699487738417</v>
      </c>
      <c r="AU15" s="9">
        <f>SUM(AU9:AU13)</f>
        <v>9.453267060160405</v>
      </c>
      <c r="AV15" s="9">
        <v>-20.655675513091239</v>
      </c>
      <c r="AW15" s="47"/>
      <c r="AX15" s="47"/>
    </row>
    <row r="16" spans="1:50" ht="5.25" customHeight="1">
      <c r="A16" s="1">
        <v>11</v>
      </c>
      <c r="E16" s="38"/>
      <c r="G16" s="57">
        <f t="shared" si="0"/>
        <v>11</v>
      </c>
      <c r="AW16" s="47"/>
      <c r="AX16" s="47"/>
    </row>
    <row r="17" spans="1:50">
      <c r="A17" s="1">
        <v>12</v>
      </c>
      <c r="B17" s="6" t="s">
        <v>128</v>
      </c>
      <c r="C17" s="9">
        <f t="shared" si="2"/>
        <v>162.16533593362897</v>
      </c>
      <c r="D17" s="9">
        <f t="shared" si="3"/>
        <v>70.814463995710923</v>
      </c>
      <c r="E17" s="67">
        <f t="shared" si="4"/>
        <v>-0.56331935189469917</v>
      </c>
      <c r="G17" s="57">
        <f t="shared" si="0"/>
        <v>12</v>
      </c>
      <c r="H17" s="6" t="s">
        <v>128</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91.081995129999996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v>186.532828356186</v>
      </c>
      <c r="AU17" s="9">
        <f>175.811279357242-AU40</f>
        <v>145.10802060724203</v>
      </c>
      <c r="AV17" s="9">
        <v>70.814463995710923</v>
      </c>
      <c r="AW17" s="47"/>
      <c r="AX17" s="47"/>
    </row>
    <row r="18" spans="1:50" ht="5.25" customHeight="1">
      <c r="A18" s="1">
        <v>13</v>
      </c>
      <c r="G18" s="57">
        <f t="shared" si="0"/>
        <v>13</v>
      </c>
      <c r="AW18" s="47"/>
      <c r="AX18" s="47"/>
    </row>
    <row r="19" spans="1:50">
      <c r="A19" s="1">
        <v>14</v>
      </c>
      <c r="B19" s="5" t="s">
        <v>129</v>
      </c>
      <c r="C19" s="8">
        <f t="shared" si="2"/>
        <v>-40.874391956794895</v>
      </c>
      <c r="D19" s="8">
        <f t="shared" si="3"/>
        <v>-20.21331412082408</v>
      </c>
      <c r="E19" s="48">
        <f t="shared" si="4"/>
        <v>-0.50547731346829616</v>
      </c>
      <c r="G19" s="57">
        <f t="shared" si="0"/>
        <v>14</v>
      </c>
      <c r="H19" s="5" t="s">
        <v>129</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v>-49.235472704137578</v>
      </c>
      <c r="AU19" s="8">
        <v>-36.887290267886129</v>
      </c>
      <c r="AV19" s="8">
        <v>-20.21331412082408</v>
      </c>
      <c r="AW19" s="47"/>
      <c r="AX19" s="47"/>
    </row>
    <row r="20" spans="1:50" ht="5.25" customHeight="1">
      <c r="A20" s="1">
        <v>15</v>
      </c>
      <c r="E20" s="81"/>
      <c r="G20" s="57">
        <f t="shared" si="0"/>
        <v>15</v>
      </c>
      <c r="AW20" s="47"/>
      <c r="AX20" s="47"/>
    </row>
    <row r="21" spans="1:50">
      <c r="A21" s="1">
        <v>16</v>
      </c>
      <c r="B21" s="3" t="s">
        <v>130</v>
      </c>
      <c r="C21" s="16">
        <f t="shared" si="2"/>
        <v>121.29094397683407</v>
      </c>
      <c r="D21" s="16">
        <f t="shared" si="3"/>
        <v>50.601149874886858</v>
      </c>
      <c r="E21" s="49">
        <f t="shared" si="4"/>
        <v>-0.582811805928797</v>
      </c>
      <c r="G21" s="57">
        <f t="shared" si="0"/>
        <v>16</v>
      </c>
      <c r="H21" s="3" t="s">
        <v>130</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59.915092689999994</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v>137.72613029204786</v>
      </c>
      <c r="AU21" s="16">
        <v>108.24676475161203</v>
      </c>
      <c r="AV21" s="16">
        <v>50.601149874886858</v>
      </c>
      <c r="AW21" s="47"/>
      <c r="AX21" s="47"/>
    </row>
    <row r="22" spans="1:50" ht="5.25" customHeight="1">
      <c r="A22" s="1">
        <v>17</v>
      </c>
      <c r="E22" s="91"/>
      <c r="G22" s="57">
        <f t="shared" si="0"/>
        <v>17</v>
      </c>
    </row>
    <row r="23" spans="1:50">
      <c r="A23" s="1">
        <v>18</v>
      </c>
      <c r="B23" s="5" t="s">
        <v>131</v>
      </c>
      <c r="C23" s="8">
        <f t="shared" si="2"/>
        <v>121.32005414723498</v>
      </c>
      <c r="D23" s="8">
        <f t="shared" si="3"/>
        <v>50.601149874886858</v>
      </c>
      <c r="E23" s="48">
        <f t="shared" si="4"/>
        <v>-0.58291190825321504</v>
      </c>
      <c r="G23" s="57">
        <f t="shared" si="0"/>
        <v>18</v>
      </c>
      <c r="H23" s="5" t="s">
        <v>131</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v>47.626031201958433</v>
      </c>
      <c r="AP23" s="8">
        <v>40</v>
      </c>
      <c r="AQ23" s="8">
        <v>80.400000000000006</v>
      </c>
      <c r="AR23" s="8">
        <f>128.930582166835-AR46</f>
        <v>121.32005414723498</v>
      </c>
      <c r="AS23" s="8">
        <f>87.9011691382947-AS46</f>
        <v>83.631013256594699</v>
      </c>
      <c r="AT23" s="8">
        <v>137.72613029204786</v>
      </c>
      <c r="AU23" s="8">
        <f>117.717456127863-AU46</f>
        <v>109.46711354466301</v>
      </c>
      <c r="AV23" s="8">
        <v>50.601149874886858</v>
      </c>
    </row>
    <row r="24" spans="1:50">
      <c r="AG24" s="47"/>
    </row>
    <row r="26" spans="1:50">
      <c r="U26" s="32"/>
      <c r="V26" s="32"/>
      <c r="W26" s="32"/>
      <c r="X26" s="32"/>
      <c r="Y26" s="32"/>
      <c r="Z26" s="32"/>
      <c r="AA26" s="32"/>
      <c r="AB26" s="32"/>
      <c r="AC26" s="32"/>
      <c r="AD26" s="32"/>
      <c r="AE26" s="32"/>
      <c r="AF26" s="32"/>
      <c r="AG26" s="32"/>
      <c r="AH26" s="32"/>
      <c r="AI26" s="32"/>
      <c r="AJ26" s="32"/>
      <c r="AK26" s="32"/>
      <c r="AL26" s="32"/>
      <c r="AM26" s="32"/>
      <c r="AN26" s="32"/>
      <c r="AO26" s="32"/>
    </row>
    <row r="28" spans="1:50" ht="23.5">
      <c r="B28" s="11" t="s">
        <v>37</v>
      </c>
      <c r="C28" s="12"/>
      <c r="D28" s="12"/>
      <c r="E28" s="12"/>
      <c r="H28" s="11" t="s">
        <v>37</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row>
    <row r="29" spans="1:50" ht="5.25" customHeight="1"/>
    <row r="30" spans="1:50" ht="15.75" customHeight="1">
      <c r="A30" s="1">
        <v>1</v>
      </c>
      <c r="B30" s="3" t="s">
        <v>134</v>
      </c>
      <c r="C30" s="108" t="str">
        <f>C6</f>
        <v>4Q22</v>
      </c>
      <c r="D30" s="108" t="str">
        <f>D6</f>
        <v>4Q23</v>
      </c>
      <c r="E30" s="108" t="s">
        <v>45</v>
      </c>
      <c r="G30" s="57">
        <v>1</v>
      </c>
      <c r="H30" s="3" t="s">
        <v>134</v>
      </c>
      <c r="I30" s="108" t="s">
        <v>47</v>
      </c>
      <c r="J30" s="108" t="s">
        <v>48</v>
      </c>
      <c r="K30" s="108" t="s">
        <v>49</v>
      </c>
      <c r="L30" s="108" t="s">
        <v>50</v>
      </c>
      <c r="M30" s="108" t="s">
        <v>51</v>
      </c>
      <c r="N30" s="108" t="s">
        <v>52</v>
      </c>
      <c r="O30" s="108" t="s">
        <v>53</v>
      </c>
      <c r="P30" s="108" t="s">
        <v>54</v>
      </c>
      <c r="Q30" s="108" t="s">
        <v>55</v>
      </c>
      <c r="R30" s="108" t="s">
        <v>56</v>
      </c>
      <c r="S30" s="108" t="s">
        <v>57</v>
      </c>
      <c r="T30" s="108" t="s">
        <v>58</v>
      </c>
      <c r="U30" s="108" t="s">
        <v>59</v>
      </c>
      <c r="V30" s="108" t="s">
        <v>60</v>
      </c>
      <c r="W30" s="108" t="s">
        <v>61</v>
      </c>
      <c r="X30" s="108" t="s">
        <v>62</v>
      </c>
      <c r="Y30" s="108" t="s">
        <v>63</v>
      </c>
      <c r="Z30" s="108" t="s">
        <v>64</v>
      </c>
      <c r="AA30" s="108" t="s">
        <v>65</v>
      </c>
      <c r="AB30" s="108" t="s">
        <v>66</v>
      </c>
      <c r="AC30" s="108" t="s">
        <v>67</v>
      </c>
      <c r="AD30" s="108" t="s">
        <v>68</v>
      </c>
      <c r="AE30" s="108" t="s">
        <v>69</v>
      </c>
      <c r="AF30" s="108" t="s">
        <v>70</v>
      </c>
      <c r="AG30" s="108" t="s">
        <v>71</v>
      </c>
      <c r="AH30" s="108" t="s">
        <v>72</v>
      </c>
      <c r="AI30" s="108" t="s">
        <v>73</v>
      </c>
      <c r="AJ30" s="108" t="s">
        <v>74</v>
      </c>
      <c r="AK30" s="108" t="s">
        <v>75</v>
      </c>
      <c r="AL30" s="108" t="s">
        <v>76</v>
      </c>
      <c r="AM30" s="108" t="s">
        <v>77</v>
      </c>
      <c r="AN30" s="108" t="s">
        <v>78</v>
      </c>
      <c r="AO30" s="108" t="s">
        <v>79</v>
      </c>
      <c r="AP30" s="108" t="s">
        <v>80</v>
      </c>
      <c r="AQ30" s="108" t="s">
        <v>81</v>
      </c>
      <c r="AR30" s="108" t="s">
        <v>43</v>
      </c>
      <c r="AS30" s="108" t="s">
        <v>82</v>
      </c>
      <c r="AT30" s="108" t="s">
        <v>83</v>
      </c>
      <c r="AU30" s="108" t="s">
        <v>84</v>
      </c>
      <c r="AV30" s="108" t="s">
        <v>44</v>
      </c>
    </row>
    <row r="31" spans="1:50">
      <c r="A31" s="1">
        <v>2</v>
      </c>
      <c r="B31" s="3" t="s">
        <v>105</v>
      </c>
      <c r="C31" s="108"/>
      <c r="D31" s="108"/>
      <c r="E31" s="108"/>
      <c r="G31" s="57">
        <f>G30+1</f>
        <v>2</v>
      </c>
      <c r="H31" s="3" t="s">
        <v>105</v>
      </c>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row>
    <row r="32" spans="1:50" ht="5.25" customHeight="1">
      <c r="A32" s="1">
        <v>3</v>
      </c>
      <c r="G32" s="57">
        <f t="shared" ref="G32:G47" si="11">G31+1</f>
        <v>3</v>
      </c>
    </row>
    <row r="33" spans="1:50">
      <c r="A33" s="1">
        <v>4</v>
      </c>
      <c r="B33" s="5" t="s">
        <v>122</v>
      </c>
      <c r="C33" s="8">
        <f t="shared" ref="C33:C47" si="12">HLOOKUP($C$30,$H$30:$BW$47,$G33,FALSE)</f>
        <v>0.34346562999999997</v>
      </c>
      <c r="D33" s="8">
        <f t="shared" ref="D33:D47" si="13">HLOOKUP($D$30,$H$30:$BW$47,$G33,FALSE)</f>
        <v>0.48817739999999998</v>
      </c>
      <c r="E33" s="35">
        <f t="shared" ref="E33:E47" si="14">+D33/C33-1</f>
        <v>0.42132824178069872</v>
      </c>
      <c r="G33" s="57">
        <f t="shared" si="11"/>
        <v>4</v>
      </c>
      <c r="H33" s="5" t="s">
        <v>122</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v>0.48817739999999998</v>
      </c>
    </row>
    <row r="34" spans="1:50">
      <c r="A34" s="1">
        <v>5</v>
      </c>
      <c r="B34" s="5" t="s">
        <v>123</v>
      </c>
      <c r="C34" s="8">
        <f t="shared" si="12"/>
        <v>-5.6869517300000094</v>
      </c>
      <c r="D34" s="8">
        <f t="shared" si="13"/>
        <v>-5.5218727000000074</v>
      </c>
      <c r="E34" s="35">
        <f t="shared" si="14"/>
        <v>-2.9027682638692265E-2</v>
      </c>
      <c r="G34" s="57">
        <f t="shared" si="11"/>
        <v>5</v>
      </c>
      <c r="H34" s="5" t="s">
        <v>123</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v>-5.5218727000000074</v>
      </c>
      <c r="AX34" s="51"/>
    </row>
    <row r="35" spans="1:50" ht="11" customHeight="1">
      <c r="A35" s="1">
        <v>6</v>
      </c>
      <c r="B35" s="5" t="s">
        <v>124</v>
      </c>
      <c r="C35" s="8">
        <f t="shared" si="12"/>
        <v>0.92341164000000031</v>
      </c>
      <c r="D35" s="8">
        <f t="shared" si="13"/>
        <v>0.31644937999999967</v>
      </c>
      <c r="E35" s="35">
        <f t="shared" si="14"/>
        <v>-0.65730410329243893</v>
      </c>
      <c r="G35" s="57">
        <f t="shared" si="11"/>
        <v>6</v>
      </c>
      <c r="H35" s="5" t="s">
        <v>124</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v>0.31644937999999967</v>
      </c>
      <c r="AX35" s="51"/>
    </row>
    <row r="36" spans="1:50">
      <c r="A36" s="1">
        <v>7</v>
      </c>
      <c r="B36" s="5" t="s">
        <v>126</v>
      </c>
      <c r="C36" s="8">
        <f t="shared" si="12"/>
        <v>-2.3350754799999986</v>
      </c>
      <c r="D36" s="8">
        <f t="shared" si="13"/>
        <v>-2.9546811799999992</v>
      </c>
      <c r="E36" s="48">
        <f t="shared" si="14"/>
        <v>0.26534718269578206</v>
      </c>
      <c r="G36" s="57">
        <f t="shared" si="11"/>
        <v>7</v>
      </c>
      <c r="H36" s="5" t="s">
        <v>126</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v>-2.9546811799999992</v>
      </c>
      <c r="AX36" s="47"/>
    </row>
    <row r="37" spans="1:50" ht="5" customHeight="1">
      <c r="A37" s="1">
        <v>8</v>
      </c>
      <c r="E37" s="65"/>
      <c r="G37" s="57">
        <f t="shared" si="11"/>
        <v>8</v>
      </c>
      <c r="S37" s="14"/>
    </row>
    <row r="38" spans="1:50">
      <c r="A38" s="1">
        <v>9</v>
      </c>
      <c r="B38" s="6" t="s">
        <v>127</v>
      </c>
      <c r="C38" s="9">
        <f t="shared" si="12"/>
        <v>-6.7551499400000079</v>
      </c>
      <c r="D38" s="9">
        <f t="shared" si="13"/>
        <v>-7.7</v>
      </c>
      <c r="E38" s="67">
        <f t="shared" si="14"/>
        <v>0.13987107146284772</v>
      </c>
      <c r="G38" s="57">
        <f t="shared" si="11"/>
        <v>9</v>
      </c>
      <c r="H38" s="6" t="s">
        <v>127</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5">+SUM(AD33:AD36)</f>
        <v>-9.3882581300000005</v>
      </c>
      <c r="AE38" s="9">
        <f t="shared" si="15"/>
        <v>-10.223773319999999</v>
      </c>
      <c r="AF38" s="9">
        <f t="shared" si="15"/>
        <v>-6.8874426900000003</v>
      </c>
      <c r="AG38" s="9">
        <f t="shared" si="15"/>
        <v>-9.1497340500000011</v>
      </c>
      <c r="AH38" s="9">
        <f t="shared" si="15"/>
        <v>-9.1990178</v>
      </c>
      <c r="AI38" s="9">
        <f t="shared" si="15"/>
        <v>-6.503122450000002</v>
      </c>
      <c r="AJ38" s="9">
        <f t="shared" si="15"/>
        <v>-186.71408519999997</v>
      </c>
      <c r="AK38" s="9">
        <f t="shared" si="15"/>
        <v>-7.7882508599999998</v>
      </c>
      <c r="AL38" s="9">
        <f t="shared" si="15"/>
        <v>-6.8635648000000016</v>
      </c>
      <c r="AM38" s="9">
        <f t="shared" si="15"/>
        <v>-8.6812930899999969</v>
      </c>
      <c r="AN38" s="9">
        <f>+SUM(AN33:AN36)</f>
        <v>-6.0392674800000012</v>
      </c>
      <c r="AO38" s="9">
        <f>+SUM(AO33:AO36)</f>
        <v>-6.6003506999999999</v>
      </c>
      <c r="AP38" s="9">
        <f>+SUM(AP33:AP36)</f>
        <v>-9.5700758700000002</v>
      </c>
      <c r="AQ38" s="9">
        <f t="shared" ref="AQ38:AR38" si="16">+SUM(AQ33:AQ36)</f>
        <v>-7.96</v>
      </c>
      <c r="AR38" s="9">
        <f t="shared" si="16"/>
        <v>-6.7551499400000079</v>
      </c>
      <c r="AS38" s="9">
        <v>-7.0608010600000011</v>
      </c>
      <c r="AT38" s="9">
        <v>-5.5103955799999991</v>
      </c>
      <c r="AU38" s="9">
        <f>SUM(AU33:AU36)</f>
        <v>-9.9182232299999953</v>
      </c>
      <c r="AV38" s="9">
        <v>-7.7</v>
      </c>
    </row>
    <row r="39" spans="1:50" ht="5.25" customHeight="1">
      <c r="A39" s="1">
        <v>10</v>
      </c>
      <c r="G39" s="57">
        <f t="shared" si="11"/>
        <v>10</v>
      </c>
      <c r="S39" s="14"/>
    </row>
    <row r="40" spans="1:50">
      <c r="A40" s="1">
        <v>11</v>
      </c>
      <c r="B40" s="6" t="s">
        <v>128</v>
      </c>
      <c r="C40" s="9">
        <f t="shared" si="12"/>
        <v>17.850065940000029</v>
      </c>
      <c r="D40" s="9">
        <f t="shared" si="13"/>
        <v>6.4855360042890737</v>
      </c>
      <c r="E40" s="67">
        <f t="shared" si="14"/>
        <v>-0.6366659918182318</v>
      </c>
      <c r="G40" s="57">
        <f t="shared" si="11"/>
        <v>11</v>
      </c>
      <c r="H40" s="6" t="s">
        <v>128</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8.8585539099999941</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77.3-AV17</f>
        <v>6.4855360042890737</v>
      </c>
    </row>
    <row r="41" spans="1:50" ht="5.25" customHeight="1">
      <c r="A41" s="1">
        <v>12</v>
      </c>
      <c r="E41" s="38"/>
      <c r="G41" s="57">
        <f t="shared" si="11"/>
        <v>12</v>
      </c>
      <c r="S41" s="14"/>
    </row>
    <row r="42" spans="1:50">
      <c r="A42" s="1">
        <v>13</v>
      </c>
      <c r="B42" s="5" t="s">
        <v>129</v>
      </c>
      <c r="C42" s="8">
        <f t="shared" si="12"/>
        <v>-2.9274619800000012</v>
      </c>
      <c r="D42" s="8">
        <f t="shared" si="13"/>
        <v>-0.85412767000000045</v>
      </c>
      <c r="E42" s="48">
        <f t="shared" si="14"/>
        <v>-0.70823611857804547</v>
      </c>
      <c r="G42" s="57">
        <f t="shared" si="11"/>
        <v>13</v>
      </c>
      <c r="H42" s="5" t="s">
        <v>129</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v>-0.85412767000000045</v>
      </c>
    </row>
    <row r="43" spans="1:50" ht="5.25" customHeight="1">
      <c r="A43" s="1">
        <v>14</v>
      </c>
      <c r="E43" s="71"/>
      <c r="G43" s="57">
        <f t="shared" si="11"/>
        <v>14</v>
      </c>
      <c r="S43" s="14"/>
    </row>
    <row r="44" spans="1:50">
      <c r="A44" s="1">
        <v>15</v>
      </c>
      <c r="B44" s="3" t="s">
        <v>130</v>
      </c>
      <c r="C44" s="16">
        <f t="shared" si="12"/>
        <v>14.922603960000028</v>
      </c>
      <c r="D44" s="16">
        <f t="shared" si="13"/>
        <v>5.5988501251131453</v>
      </c>
      <c r="E44" s="49">
        <f t="shared" si="14"/>
        <v>-0.62480743038407793</v>
      </c>
      <c r="G44" s="57">
        <f t="shared" si="11"/>
        <v>15</v>
      </c>
      <c r="H44" s="3" t="s">
        <v>130</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7.4585539099999938</v>
      </c>
      <c r="AC44" s="16">
        <f>+AC40+AC42</f>
        <v>4.1620151400000056</v>
      </c>
      <c r="AD44" s="16">
        <f t="shared" ref="AD44:AG44" si="17">+AD40+AD42</f>
        <v>0.17004293000000326</v>
      </c>
      <c r="AE44" s="16">
        <f t="shared" si="17"/>
        <v>-8.9109858000000024</v>
      </c>
      <c r="AF44" s="16">
        <f t="shared" si="17"/>
        <v>2.5943269099999915</v>
      </c>
      <c r="AG44" s="16">
        <f t="shared" si="17"/>
        <v>-6.5632499299999978</v>
      </c>
      <c r="AH44" s="16">
        <v>-9.0495119099999997</v>
      </c>
      <c r="AI44" s="16">
        <v>-4.8452505800000036</v>
      </c>
      <c r="AJ44" s="16">
        <f t="shared" ref="AJ44:AM44" si="18">+AJ40+AJ42</f>
        <v>-129.17836936999996</v>
      </c>
      <c r="AK44" s="16">
        <f t="shared" si="18"/>
        <v>-4.6870472300000028</v>
      </c>
      <c r="AL44" s="16">
        <f t="shared" si="18"/>
        <v>-4.4542395099999865</v>
      </c>
      <c r="AM44" s="16">
        <f t="shared" si="18"/>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56.2-AV21</f>
        <v>5.5988501251131453</v>
      </c>
      <c r="AX44" s="47"/>
    </row>
    <row r="45" spans="1:50" ht="5.25" customHeight="1">
      <c r="A45" s="1">
        <v>16</v>
      </c>
      <c r="E45" s="71"/>
      <c r="G45" s="57">
        <f t="shared" si="11"/>
        <v>16</v>
      </c>
      <c r="S45" s="14"/>
    </row>
    <row r="46" spans="1:50">
      <c r="A46" s="1">
        <v>17</v>
      </c>
      <c r="B46" s="5" t="s">
        <v>131</v>
      </c>
      <c r="C46" s="8">
        <f t="shared" si="12"/>
        <v>7.6105280196000145</v>
      </c>
      <c r="D46" s="8">
        <f t="shared" si="13"/>
        <v>2.8554135638077041</v>
      </c>
      <c r="E46" s="48">
        <f t="shared" si="14"/>
        <v>-0.62480743038407793</v>
      </c>
      <c r="G46" s="57">
        <f t="shared" si="11"/>
        <v>17</v>
      </c>
      <c r="H46" s="5" t="s">
        <v>131</v>
      </c>
      <c r="I46" s="17"/>
      <c r="J46" s="17"/>
      <c r="K46" s="17"/>
      <c r="L46" s="17"/>
      <c r="M46" s="17"/>
      <c r="N46" s="17"/>
      <c r="O46" s="17"/>
      <c r="P46" s="17"/>
      <c r="Q46" s="8">
        <f>+Q44*0.51</f>
        <v>3.860335737599998</v>
      </c>
      <c r="R46" s="8">
        <f t="shared" ref="R46:T46" si="19">+R44*0.51</f>
        <v>-0.2096214750000005</v>
      </c>
      <c r="S46" s="8">
        <f t="shared" si="19"/>
        <v>-0.75856034730000055</v>
      </c>
      <c r="T46" s="8">
        <f t="shared" si="19"/>
        <v>0.89423306670000302</v>
      </c>
      <c r="U46" s="8">
        <f>+U44-U47</f>
        <v>4.171250910000003</v>
      </c>
      <c r="V46" s="8">
        <f t="shared" ref="V46:AF46" si="20">+V44-V47</f>
        <v>-12.129309620000004</v>
      </c>
      <c r="W46" s="8">
        <f t="shared" si="20"/>
        <v>0.13145553999999782</v>
      </c>
      <c r="X46" s="8">
        <f t="shared" si="20"/>
        <v>3.2719259700000043</v>
      </c>
      <c r="Y46" s="8">
        <f t="shared" si="20"/>
        <v>-0.71925135000000906</v>
      </c>
      <c r="Z46" s="8">
        <f t="shared" si="20"/>
        <v>-1.6347808199999949</v>
      </c>
      <c r="AA46" s="8">
        <f t="shared" si="20"/>
        <v>-2.9987468100000014</v>
      </c>
      <c r="AB46" s="8">
        <f t="shared" si="20"/>
        <v>11.963025529999992</v>
      </c>
      <c r="AC46" s="8">
        <f t="shared" si="20"/>
        <v>3.0307739099999909</v>
      </c>
      <c r="AD46" s="8">
        <f t="shared" si="20"/>
        <v>0.11151201000000327</v>
      </c>
      <c r="AE46" s="8">
        <f t="shared" si="20"/>
        <v>-4.5163217200000023</v>
      </c>
      <c r="AF46" s="8">
        <f t="shared" si="20"/>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+AS44*0.51</f>
        <v>4.2701558817000045</v>
      </c>
      <c r="AT46" s="8">
        <f>+AT44*0.51</f>
        <v>-3.321476566500003</v>
      </c>
      <c r="AU46" s="8">
        <f>+AU44*0.51</f>
        <v>8.2503425831999913</v>
      </c>
      <c r="AV46" s="8">
        <f>+AV44*0.51</f>
        <v>2.8554135638077041</v>
      </c>
    </row>
    <row r="47" spans="1:50">
      <c r="A47" s="1">
        <v>18</v>
      </c>
      <c r="B47" s="5" t="s">
        <v>132</v>
      </c>
      <c r="C47" s="8">
        <f t="shared" si="12"/>
        <v>7.312075940400014</v>
      </c>
      <c r="D47" s="8">
        <f t="shared" si="13"/>
        <v>2.7434365613054412</v>
      </c>
      <c r="E47" s="48">
        <f t="shared" si="14"/>
        <v>-0.62480743038407793</v>
      </c>
      <c r="G47" s="57">
        <f t="shared" si="11"/>
        <v>18</v>
      </c>
      <c r="H47" s="5" t="s">
        <v>132</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+AS44*0.49</f>
        <v>4.102698788300005</v>
      </c>
      <c r="AT47" s="8">
        <f>+AT44*0.49</f>
        <v>-3.1912225835000028</v>
      </c>
      <c r="AU47" s="8">
        <f>+AU44*0.49</f>
        <v>7.9267997367999916</v>
      </c>
      <c r="AV47" s="8">
        <f>+AV44*0.49</f>
        <v>2.7434365613054412</v>
      </c>
    </row>
    <row r="48" spans="1:50">
      <c r="U48" s="62"/>
      <c r="V48" s="62"/>
      <c r="W48" s="62"/>
      <c r="X48" s="62"/>
      <c r="Y48" s="62"/>
      <c r="Z48" s="62"/>
      <c r="AA48" s="62"/>
      <c r="AB48" s="62"/>
      <c r="AC48" s="62"/>
      <c r="AD48" s="62"/>
      <c r="AE48" s="62"/>
      <c r="AF48" s="62"/>
      <c r="AG48" s="62"/>
      <c r="AH48" s="62"/>
      <c r="AI48" s="62"/>
      <c r="AJ48" s="62"/>
      <c r="AK48" s="62"/>
      <c r="AL48" s="62"/>
      <c r="AM48" s="62"/>
      <c r="AN48" s="62"/>
      <c r="AO48" s="62"/>
    </row>
    <row r="49" spans="2:5" ht="183" customHeight="1">
      <c r="B49" s="109" t="s">
        <v>135</v>
      </c>
      <c r="C49" s="109"/>
      <c r="D49" s="109"/>
      <c r="E49" s="109"/>
    </row>
  </sheetData>
  <mergeCells count="87">
    <mergeCell ref="AV6:AV7"/>
    <mergeCell ref="AV30:AV31"/>
    <mergeCell ref="AU6:AU7"/>
    <mergeCell ref="AU30:AU31"/>
    <mergeCell ref="S30:S31"/>
    <mergeCell ref="AT6:AT7"/>
    <mergeCell ref="AT30:AT31"/>
    <mergeCell ref="T6:T7"/>
    <mergeCell ref="AI30:AI31"/>
    <mergeCell ref="AH6:AH7"/>
    <mergeCell ref="AH30:AH31"/>
    <mergeCell ref="AJ6:AJ7"/>
    <mergeCell ref="AJ30:AJ31"/>
    <mergeCell ref="X30:X31"/>
    <mergeCell ref="T30:T31"/>
    <mergeCell ref="U6:U7"/>
    <mergeCell ref="U30:U31"/>
    <mergeCell ref="AO6:AO7"/>
    <mergeCell ref="V6:V7"/>
    <mergeCell ref="AC30:AC31"/>
    <mergeCell ref="O30:O31"/>
    <mergeCell ref="P30:P31"/>
    <mergeCell ref="Q30:Q31"/>
    <mergeCell ref="R30:R31"/>
    <mergeCell ref="Q6:Q7"/>
    <mergeCell ref="P6:P7"/>
    <mergeCell ref="O6:O7"/>
    <mergeCell ref="Y6:Y7"/>
    <mergeCell ref="R6:R7"/>
    <mergeCell ref="S6:S7"/>
    <mergeCell ref="AO30:AO31"/>
    <mergeCell ref="V30:V31"/>
    <mergeCell ref="AN30:AN31"/>
    <mergeCell ref="J6:J7"/>
    <mergeCell ref="K6:K7"/>
    <mergeCell ref="L6:L7"/>
    <mergeCell ref="M6:M7"/>
    <mergeCell ref="N6:N7"/>
    <mergeCell ref="J30:J31"/>
    <mergeCell ref="N30:N31"/>
    <mergeCell ref="K30:K31"/>
    <mergeCell ref="L30:L31"/>
    <mergeCell ref="M30:M31"/>
    <mergeCell ref="AL6:AL7"/>
    <mergeCell ref="AL30:AL31"/>
    <mergeCell ref="AK6:AK7"/>
    <mergeCell ref="AK30:AK31"/>
    <mergeCell ref="AM6:AM7"/>
    <mergeCell ref="C6:C7"/>
    <mergeCell ref="D6:D7"/>
    <mergeCell ref="E6:E7"/>
    <mergeCell ref="I6:I7"/>
    <mergeCell ref="B49:E49"/>
    <mergeCell ref="I30:I31"/>
    <mergeCell ref="C30:C31"/>
    <mergeCell ref="D30:D31"/>
    <mergeCell ref="E30:E31"/>
    <mergeCell ref="AM30:AM31"/>
    <mergeCell ref="Z30:Z31"/>
    <mergeCell ref="W6:W7"/>
    <mergeCell ref="W30:W31"/>
    <mergeCell ref="X6:X7"/>
    <mergeCell ref="AI6:AI7"/>
    <mergeCell ref="AB30:AB31"/>
    <mergeCell ref="AB6:AB7"/>
    <mergeCell ref="AC6:AC7"/>
    <mergeCell ref="AP6:AP7"/>
    <mergeCell ref="AP30:AP31"/>
    <mergeCell ref="AR6:AR7"/>
    <mergeCell ref="Y30:Y31"/>
    <mergeCell ref="AA6:AA7"/>
    <mergeCell ref="AA30:AA31"/>
    <mergeCell ref="AG6:AG7"/>
    <mergeCell ref="AG30:AG31"/>
    <mergeCell ref="AE30:AE31"/>
    <mergeCell ref="AD6:AD7"/>
    <mergeCell ref="AD30:AD31"/>
    <mergeCell ref="AF30:AF31"/>
    <mergeCell ref="AF6:AF7"/>
    <mergeCell ref="AE6:AE7"/>
    <mergeCell ref="Z6:Z7"/>
    <mergeCell ref="AN6:AN7"/>
    <mergeCell ref="AS6:AS7"/>
    <mergeCell ref="AS30:AS31"/>
    <mergeCell ref="AR30:AR31"/>
    <mergeCell ref="AQ6:AQ7"/>
    <mergeCell ref="AQ30:AQ31"/>
  </mergeCells>
  <phoneticPr fontId="14"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2:AW73"/>
  <sheetViews>
    <sheetView topLeftCell="B11" zoomScale="77" zoomScaleNormal="77" zoomScaleSheetLayoutView="100" workbookViewId="0">
      <selection activeCell="C52" sqref="C52"/>
    </sheetView>
  </sheetViews>
  <sheetFormatPr defaultColWidth="11.453125" defaultRowHeight="13.5"/>
  <cols>
    <col min="1" max="1" width="11.453125" style="1" hidden="1" customWidth="1"/>
    <col min="2" max="2" width="38.54296875" style="1" customWidth="1"/>
    <col min="3" max="4" width="11.453125" style="1"/>
    <col min="5" max="5" width="11.7265625" style="1" customWidth="1"/>
    <col min="6" max="6" width="11.453125" style="1" customWidth="1"/>
    <col min="7" max="7" width="11.453125" style="57" customWidth="1"/>
    <col min="8" max="8" width="42.26953125" style="1" customWidth="1"/>
    <col min="9" max="43" width="11.453125" style="1" hidden="1" customWidth="1"/>
    <col min="44" max="46" width="11.453125" style="1" customWidth="1"/>
    <col min="47" max="16384" width="11.453125" style="1"/>
  </cols>
  <sheetData>
    <row r="2" spans="1:48">
      <c r="F2" s="83"/>
    </row>
    <row r="3" spans="1:48">
      <c r="F3" s="53"/>
    </row>
    <row r="5" spans="1:48" ht="23.5">
      <c r="B5" s="11" t="s">
        <v>136</v>
      </c>
      <c r="C5" s="12"/>
      <c r="D5" s="12"/>
      <c r="E5" s="12"/>
      <c r="H5" s="11" t="s">
        <v>136</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row>
    <row r="7" spans="1:48">
      <c r="A7" s="1">
        <v>1</v>
      </c>
      <c r="B7" s="3" t="s">
        <v>137</v>
      </c>
      <c r="C7" s="108" t="s">
        <v>43</v>
      </c>
      <c r="D7" s="108" t="s">
        <v>44</v>
      </c>
      <c r="E7" s="108" t="s">
        <v>138</v>
      </c>
      <c r="G7" s="57">
        <v>1</v>
      </c>
      <c r="H7" s="3" t="s">
        <v>137</v>
      </c>
      <c r="I7" s="60" t="s">
        <v>47</v>
      </c>
      <c r="J7" s="60" t="s">
        <v>48</v>
      </c>
      <c r="K7" s="60" t="s">
        <v>49</v>
      </c>
      <c r="L7" s="60" t="s">
        <v>50</v>
      </c>
      <c r="M7" s="60" t="s">
        <v>51</v>
      </c>
      <c r="N7" s="60" t="s">
        <v>52</v>
      </c>
      <c r="O7" s="60" t="s">
        <v>53</v>
      </c>
      <c r="P7" s="60" t="s">
        <v>54</v>
      </c>
      <c r="Q7" s="60" t="s">
        <v>55</v>
      </c>
      <c r="R7" s="60" t="s">
        <v>56</v>
      </c>
      <c r="S7" s="60" t="s">
        <v>57</v>
      </c>
      <c r="T7" s="60" t="s">
        <v>58</v>
      </c>
      <c r="U7" s="108" t="s">
        <v>59</v>
      </c>
      <c r="V7" s="108" t="s">
        <v>60</v>
      </c>
      <c r="W7" s="108" t="s">
        <v>61</v>
      </c>
      <c r="X7" s="108" t="s">
        <v>62</v>
      </c>
      <c r="Y7" s="108" t="s">
        <v>63</v>
      </c>
      <c r="Z7" s="108" t="s">
        <v>64</v>
      </c>
      <c r="AA7" s="108" t="s">
        <v>65</v>
      </c>
      <c r="AB7" s="108" t="s">
        <v>66</v>
      </c>
      <c r="AC7" s="108" t="s">
        <v>67</v>
      </c>
      <c r="AD7" s="108" t="s">
        <v>68</v>
      </c>
      <c r="AE7" s="108" t="s">
        <v>69</v>
      </c>
      <c r="AF7" s="108" t="s">
        <v>70</v>
      </c>
      <c r="AG7" s="108" t="s">
        <v>71</v>
      </c>
      <c r="AH7" s="108" t="s">
        <v>72</v>
      </c>
      <c r="AI7" s="108" t="s">
        <v>73</v>
      </c>
      <c r="AJ7" s="108" t="s">
        <v>74</v>
      </c>
      <c r="AK7" s="108" t="s">
        <v>75</v>
      </c>
      <c r="AL7" s="108" t="s">
        <v>76</v>
      </c>
      <c r="AM7" s="108" t="s">
        <v>77</v>
      </c>
      <c r="AN7" s="108" t="s">
        <v>78</v>
      </c>
      <c r="AO7" s="108" t="s">
        <v>79</v>
      </c>
      <c r="AP7" s="108" t="s">
        <v>80</v>
      </c>
      <c r="AQ7" s="108" t="s">
        <v>81</v>
      </c>
      <c r="AR7" s="108" t="s">
        <v>43</v>
      </c>
      <c r="AS7" s="108" t="s">
        <v>82</v>
      </c>
      <c r="AT7" s="108" t="s">
        <v>83</v>
      </c>
      <c r="AU7" s="108" t="s">
        <v>84</v>
      </c>
      <c r="AV7" s="108" t="s">
        <v>44</v>
      </c>
    </row>
    <row r="8" spans="1:48">
      <c r="A8" s="1">
        <v>2</v>
      </c>
      <c r="B8" s="3" t="s">
        <v>105</v>
      </c>
      <c r="C8" s="108"/>
      <c r="D8" s="108"/>
      <c r="E8" s="108"/>
      <c r="G8" s="57">
        <f>G7+1</f>
        <v>2</v>
      </c>
      <c r="H8" s="3" t="s">
        <v>105</v>
      </c>
      <c r="I8" s="60"/>
      <c r="J8" s="60"/>
      <c r="K8" s="60"/>
      <c r="L8" s="60"/>
      <c r="M8" s="60"/>
      <c r="N8" s="60"/>
      <c r="O8" s="60"/>
      <c r="P8" s="60"/>
      <c r="Q8" s="60"/>
      <c r="R8" s="60"/>
      <c r="S8" s="60"/>
      <c r="T8" s="60"/>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row>
    <row r="9" spans="1:48">
      <c r="A9" s="1">
        <v>3</v>
      </c>
      <c r="G9" s="57">
        <f t="shared" ref="G9:G33" si="0">G8+1</f>
        <v>3</v>
      </c>
    </row>
    <row r="10" spans="1:48">
      <c r="A10" s="1">
        <v>4</v>
      </c>
      <c r="B10" s="2" t="s">
        <v>137</v>
      </c>
      <c r="C10" s="9">
        <f t="shared" ref="C10:C15" si="1">HLOOKUP($C$7,$H$7:$BL$33,$G10,FALSE)</f>
        <v>469.80545140927131</v>
      </c>
      <c r="D10" s="9">
        <f t="shared" ref="D10:D15" si="2">HLOOKUP($D$7,$H$7:$BL$33,$G10,FALSE)</f>
        <v>346.78685161240321</v>
      </c>
      <c r="E10" s="37">
        <f t="shared" ref="E10:E33" si="3">D10/C10-1</f>
        <v>-0.26185009013379956</v>
      </c>
      <c r="G10" s="57">
        <f t="shared" si="0"/>
        <v>4</v>
      </c>
      <c r="H10" s="2" t="s">
        <v>137</v>
      </c>
      <c r="I10" s="9">
        <f t="shared" ref="I10:AI10" si="4">SUM(I11:I15)</f>
        <v>413.24504169000005</v>
      </c>
      <c r="J10" s="9">
        <f t="shared" si="4"/>
        <v>408.02186204000003</v>
      </c>
      <c r="K10" s="9">
        <f t="shared" si="4"/>
        <v>351.24406281</v>
      </c>
      <c r="L10" s="9">
        <f t="shared" si="4"/>
        <v>330.06554598999998</v>
      </c>
      <c r="M10" s="9">
        <f t="shared" si="4"/>
        <v>317.00992109000003</v>
      </c>
      <c r="N10" s="9">
        <f t="shared" si="4"/>
        <v>358.45925773000005</v>
      </c>
      <c r="O10" s="9">
        <f t="shared" si="4"/>
        <v>336.99432981999996</v>
      </c>
      <c r="P10" s="9">
        <f t="shared" si="4"/>
        <v>295.2</v>
      </c>
      <c r="Q10" s="9">
        <f t="shared" si="4"/>
        <v>306.96104971</v>
      </c>
      <c r="R10" s="9">
        <f t="shared" si="4"/>
        <v>315.18701463999997</v>
      </c>
      <c r="S10" s="9">
        <f t="shared" si="4"/>
        <v>285.26607687999996</v>
      </c>
      <c r="T10" s="9">
        <f t="shared" si="4"/>
        <v>312.09914898</v>
      </c>
      <c r="U10" s="9">
        <f t="shared" si="4"/>
        <v>334.40723076999996</v>
      </c>
      <c r="V10" s="9">
        <f t="shared" si="4"/>
        <v>346.55393107000003</v>
      </c>
      <c r="W10" s="9">
        <f t="shared" si="4"/>
        <v>332.52042805999997</v>
      </c>
      <c r="X10" s="9">
        <f t="shared" si="4"/>
        <v>342.09300468000004</v>
      </c>
      <c r="Y10" s="9">
        <f t="shared" si="4"/>
        <v>353.94514801000003</v>
      </c>
      <c r="Z10" s="9">
        <f t="shared" si="4"/>
        <v>348.51063906000007</v>
      </c>
      <c r="AA10" s="9">
        <f t="shared" si="4"/>
        <v>320.06585212000005</v>
      </c>
      <c r="AB10" s="9">
        <f>+AB11+AB12+AB13+AB14+AB15</f>
        <v>347.33065854</v>
      </c>
      <c r="AC10" s="9">
        <f t="shared" si="4"/>
        <v>341.09638778000004</v>
      </c>
      <c r="AD10" s="9">
        <f t="shared" si="4"/>
        <v>349.16334979000004</v>
      </c>
      <c r="AE10" s="9">
        <f t="shared" si="4"/>
        <v>336.11869616000007</v>
      </c>
      <c r="AF10" s="9">
        <f>SUM(AF11:AF15)</f>
        <v>304.75488297216134</v>
      </c>
      <c r="AG10" s="9">
        <f t="shared" si="4"/>
        <v>304.92839223000004</v>
      </c>
      <c r="AH10" s="9">
        <f t="shared" si="4"/>
        <v>291.72425158999999</v>
      </c>
      <c r="AI10" s="9">
        <f t="shared" si="4"/>
        <v>301.11284210999997</v>
      </c>
      <c r="AJ10" s="9">
        <f>SUM(AJ11:AJ15)</f>
        <v>291.66198053907101</v>
      </c>
      <c r="AK10" s="9">
        <f>SUM(AK11:AK15)</f>
        <v>297.6257196794561</v>
      </c>
      <c r="AL10" s="9">
        <f>SUM(AL11:AL14)</f>
        <v>322.26952723054387</v>
      </c>
      <c r="AM10" s="9">
        <f>SUM(AM11:AM15)</f>
        <v>296.19064495000003</v>
      </c>
      <c r="AN10" s="9">
        <v>330</v>
      </c>
      <c r="AO10" s="9">
        <f>+SUM(AO11:AO15)</f>
        <v>361.71194770738282</v>
      </c>
      <c r="AP10" s="9">
        <f>+SUM(AP11:AP15)</f>
        <v>460.96481391606233</v>
      </c>
      <c r="AQ10" s="9">
        <f t="shared" ref="AQ10:AR10" si="5">+SUM(AQ11:AQ15)</f>
        <v>429.02000000000004</v>
      </c>
      <c r="AR10" s="9">
        <f t="shared" si="5"/>
        <v>469.80545140927131</v>
      </c>
      <c r="AS10" s="9">
        <f>554.589704572665-AS45</f>
        <v>495.03860299266501</v>
      </c>
      <c r="AT10" s="9">
        <v>482.33148441124291</v>
      </c>
      <c r="AU10" s="9">
        <v>367.22722675469447</v>
      </c>
      <c r="AV10" s="9">
        <f>SUM(AV11:AV15)</f>
        <v>346.78685161240321</v>
      </c>
    </row>
    <row r="11" spans="1:48">
      <c r="A11" s="1">
        <v>5</v>
      </c>
      <c r="B11" s="5" t="s">
        <v>139</v>
      </c>
      <c r="C11" s="7">
        <f t="shared" si="1"/>
        <v>76.240821440000019</v>
      </c>
      <c r="D11" s="7">
        <f t="shared" si="2"/>
        <v>102.02196951000003</v>
      </c>
      <c r="E11" s="35">
        <f t="shared" si="3"/>
        <v>0.33815412246429233</v>
      </c>
      <c r="G11" s="57">
        <f t="shared" si="0"/>
        <v>5</v>
      </c>
      <c r="H11" s="5" t="s">
        <v>139</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row>
    <row r="12" spans="1:48">
      <c r="A12" s="1">
        <v>6</v>
      </c>
      <c r="B12" s="5" t="s">
        <v>140</v>
      </c>
      <c r="C12" s="7">
        <f t="shared" si="1"/>
        <v>316.51294347999988</v>
      </c>
      <c r="D12" s="7">
        <f t="shared" si="2"/>
        <v>229.19460626999995</v>
      </c>
      <c r="E12" s="35">
        <f t="shared" si="3"/>
        <v>-0.27587603922276083</v>
      </c>
      <c r="G12" s="57">
        <f t="shared" si="0"/>
        <v>6</v>
      </c>
      <c r="H12" s="5" t="s">
        <v>140</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row>
    <row r="13" spans="1:48">
      <c r="A13" s="1">
        <v>7</v>
      </c>
      <c r="B13" s="5" t="s">
        <v>141</v>
      </c>
      <c r="C13" s="43">
        <f t="shared" si="1"/>
        <v>71.843575979999997</v>
      </c>
      <c r="D13" s="43">
        <f t="shared" si="2"/>
        <v>3.2635667100000063</v>
      </c>
      <c r="E13" s="35">
        <f t="shared" si="3"/>
        <v>-0.95457399404911958</v>
      </c>
      <c r="G13" s="57">
        <f t="shared" si="0"/>
        <v>7</v>
      </c>
      <c r="H13" s="5" t="s">
        <v>141</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row>
    <row r="14" spans="1:48">
      <c r="A14" s="1">
        <v>8</v>
      </c>
      <c r="B14" s="5" t="s">
        <v>110</v>
      </c>
      <c r="C14" s="64" t="str">
        <f t="shared" si="1"/>
        <v>-</v>
      </c>
      <c r="D14" s="64" t="str">
        <f t="shared" si="2"/>
        <v>-</v>
      </c>
      <c r="E14" s="48" t="s">
        <v>101</v>
      </c>
      <c r="G14" s="57">
        <f t="shared" si="0"/>
        <v>8</v>
      </c>
      <c r="H14" s="5" t="s">
        <v>110</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4" t="s">
        <v>101</v>
      </c>
      <c r="AS14" s="64">
        <v>0</v>
      </c>
      <c r="AT14" s="64">
        <v>0</v>
      </c>
      <c r="AU14" s="64">
        <v>0</v>
      </c>
      <c r="AV14" s="64" t="s">
        <v>101</v>
      </c>
    </row>
    <row r="15" spans="1:48">
      <c r="A15" s="1">
        <v>9</v>
      </c>
      <c r="B15" s="5" t="s">
        <v>108</v>
      </c>
      <c r="C15" s="43">
        <f t="shared" si="1"/>
        <v>5.2081105092714992</v>
      </c>
      <c r="D15" s="43">
        <f t="shared" si="2"/>
        <v>12.30670912240323</v>
      </c>
      <c r="E15" s="48" t="s">
        <v>101</v>
      </c>
      <c r="G15" s="57">
        <f t="shared" si="0"/>
        <v>9</v>
      </c>
      <c r="H15" s="5" t="s">
        <v>108</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row>
    <row r="16" spans="1:48">
      <c r="A16" s="1">
        <v>10</v>
      </c>
      <c r="E16" s="39"/>
      <c r="G16" s="57">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48">
      <c r="A17" s="1">
        <v>11</v>
      </c>
      <c r="B17" s="2" t="s">
        <v>142</v>
      </c>
      <c r="C17" s="93">
        <f t="shared" ref="C17:C23" si="6">HLOOKUP($C$7,$H$7:$BL$33,$G17,FALSE)</f>
        <v>-210.35453464999992</v>
      </c>
      <c r="D17" s="93">
        <f t="shared" ref="D17:D23" si="7">HLOOKUP($D$7,$H$7:$BL$33,$G17,FALSE)</f>
        <v>-174.63225831325133</v>
      </c>
      <c r="E17" s="37">
        <f>D17/C17-1</f>
        <v>-0.16981937848967876</v>
      </c>
      <c r="G17" s="57">
        <f t="shared" si="0"/>
        <v>11</v>
      </c>
      <c r="H17" s="2" t="s">
        <v>142</v>
      </c>
      <c r="I17" s="9">
        <f t="shared" ref="I17:AJ17" si="8">SUM(I18:I23)</f>
        <v>-275.35129532000002</v>
      </c>
      <c r="J17" s="9">
        <f t="shared" si="8"/>
        <v>-245.57660835000001</v>
      </c>
      <c r="K17" s="9">
        <f t="shared" si="8"/>
        <v>-213.76067669000003</v>
      </c>
      <c r="L17" s="9">
        <f t="shared" si="8"/>
        <v>-149.01963957999999</v>
      </c>
      <c r="M17" s="9">
        <f t="shared" si="8"/>
        <v>-205.1628939</v>
      </c>
      <c r="N17" s="9">
        <f t="shared" si="8"/>
        <v>-201.26569451</v>
      </c>
      <c r="O17" s="9">
        <f t="shared" si="8"/>
        <v>-136.02479528999999</v>
      </c>
      <c r="P17" s="9">
        <f t="shared" si="8"/>
        <v>-98.7</v>
      </c>
      <c r="Q17" s="9">
        <f t="shared" si="8"/>
        <v>-132.75843111</v>
      </c>
      <c r="R17" s="9">
        <f t="shared" si="8"/>
        <v>-150.15819938999999</v>
      </c>
      <c r="S17" s="9">
        <f t="shared" si="8"/>
        <v>-154.75086822</v>
      </c>
      <c r="T17" s="9">
        <f t="shared" si="8"/>
        <v>-142.57810221000003</v>
      </c>
      <c r="U17" s="9">
        <f t="shared" si="8"/>
        <v>-167.26441367999999</v>
      </c>
      <c r="V17" s="9">
        <f t="shared" si="8"/>
        <v>-175.75027431000001</v>
      </c>
      <c r="W17" s="9">
        <f t="shared" si="8"/>
        <v>-147.17653369000001</v>
      </c>
      <c r="X17" s="9">
        <f t="shared" si="8"/>
        <v>-124.09420446999999</v>
      </c>
      <c r="Y17" s="9">
        <f t="shared" si="8"/>
        <v>-173.83893678999999</v>
      </c>
      <c r="Z17" s="9">
        <f t="shared" si="8"/>
        <v>-181.13288132</v>
      </c>
      <c r="AA17" s="9">
        <f t="shared" si="8"/>
        <v>-146.27714492000001</v>
      </c>
      <c r="AB17" s="9">
        <f t="shared" si="8"/>
        <v>-116.73437586999998</v>
      </c>
      <c r="AC17" s="9">
        <f t="shared" si="8"/>
        <v>-170.47125767000003</v>
      </c>
      <c r="AD17" s="9">
        <f t="shared" si="8"/>
        <v>-170.79738747000002</v>
      </c>
      <c r="AE17" s="9">
        <f t="shared" si="8"/>
        <v>-152.53082833000002</v>
      </c>
      <c r="AF17" s="9">
        <f t="shared" si="8"/>
        <v>-117.26530571084766</v>
      </c>
      <c r="AG17" s="9">
        <f t="shared" si="8"/>
        <v>-128.9747912</v>
      </c>
      <c r="AH17" s="9">
        <f t="shared" si="8"/>
        <v>-125.15747811000001</v>
      </c>
      <c r="AI17" s="9">
        <f t="shared" si="8"/>
        <v>-117.61759233000001</v>
      </c>
      <c r="AJ17" s="9">
        <f t="shared" si="8"/>
        <v>-103.64530324</v>
      </c>
      <c r="AK17" s="9">
        <f t="shared" ref="AK17:AR17" si="9">+SUM(AK18:AK23)</f>
        <v>-145.81400551999999</v>
      </c>
      <c r="AL17" s="9">
        <f t="shared" si="9"/>
        <v>-174.63671665124437</v>
      </c>
      <c r="AM17" s="9">
        <f t="shared" si="9"/>
        <v>-235.42365913</v>
      </c>
      <c r="AN17" s="9">
        <f t="shared" si="9"/>
        <v>-152.81074061000007</v>
      </c>
      <c r="AO17" s="9">
        <f t="shared" si="9"/>
        <v>-211.96305361999998</v>
      </c>
      <c r="AP17" s="9">
        <f t="shared" si="9"/>
        <v>-298.74683102163107</v>
      </c>
      <c r="AQ17" s="9">
        <f t="shared" si="9"/>
        <v>-218.07999999999998</v>
      </c>
      <c r="AR17" s="9">
        <f t="shared" si="9"/>
        <v>-210.35453464999992</v>
      </c>
      <c r="AS17" s="9">
        <f>+SUM(AS18:AS23)</f>
        <v>-293.65883464210339</v>
      </c>
      <c r="AT17" s="9">
        <v>-310.66872642850745</v>
      </c>
      <c r="AU17" s="9">
        <f t="shared" ref="AU17" si="10">SUM(AU18:AU23)</f>
        <v>-155.8250032176779</v>
      </c>
      <c r="AV17" s="9">
        <f>SUM(AV18:AV23)</f>
        <v>-174.63225831325133</v>
      </c>
    </row>
    <row r="18" spans="1:48">
      <c r="A18" s="1">
        <v>12</v>
      </c>
      <c r="B18" s="5" t="s">
        <v>110</v>
      </c>
      <c r="C18" s="64">
        <f t="shared" si="6"/>
        <v>-33.132624860000035</v>
      </c>
      <c r="D18" s="64">
        <f t="shared" si="7"/>
        <v>-28.341474049999988</v>
      </c>
      <c r="E18" s="35">
        <f t="shared" si="3"/>
        <v>-0.14460522914332241</v>
      </c>
      <c r="G18" s="57">
        <f t="shared" si="0"/>
        <v>12</v>
      </c>
      <c r="H18" s="5" t="s">
        <v>110</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-41.114205829999996</v>
      </c>
      <c r="AU18" s="43">
        <v>-28.996101320000015</v>
      </c>
      <c r="AV18" s="43">
        <v>-28.341474049999988</v>
      </c>
    </row>
    <row r="19" spans="1:48">
      <c r="A19" s="1">
        <v>13</v>
      </c>
      <c r="B19" s="5" t="s">
        <v>111</v>
      </c>
      <c r="C19" s="64">
        <f t="shared" si="6"/>
        <v>-23.949563029999979</v>
      </c>
      <c r="D19" s="64">
        <f t="shared" si="7"/>
        <v>-46.032795730000011</v>
      </c>
      <c r="E19" s="35">
        <f t="shared" si="3"/>
        <v>0.92207246839275836</v>
      </c>
      <c r="G19" s="57">
        <f t="shared" si="0"/>
        <v>13</v>
      </c>
      <c r="H19" s="5" t="s">
        <v>111</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-34.990852450000013</v>
      </c>
      <c r="AU19" s="43">
        <v>-33.427848479999987</v>
      </c>
      <c r="AV19" s="43">
        <v>-46.032795730000011</v>
      </c>
    </row>
    <row r="20" spans="1:48">
      <c r="A20" s="1">
        <v>14</v>
      </c>
      <c r="B20" s="5" t="s">
        <v>112</v>
      </c>
      <c r="C20" s="64">
        <f t="shared" si="6"/>
        <v>-109.43343026999992</v>
      </c>
      <c r="D20" s="64">
        <f t="shared" si="7"/>
        <v>-55.245906590000061</v>
      </c>
      <c r="E20" s="35">
        <f t="shared" si="3"/>
        <v>-0.49516426147207071</v>
      </c>
      <c r="G20" s="57">
        <f t="shared" si="0"/>
        <v>14</v>
      </c>
      <c r="H20" s="5" t="s">
        <v>112</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-147.50914857999996</v>
      </c>
      <c r="AU20" s="43">
        <v>-50.611767769999972</v>
      </c>
      <c r="AV20" s="43">
        <v>-55.245906590000061</v>
      </c>
    </row>
    <row r="21" spans="1:48">
      <c r="A21" s="1">
        <v>15</v>
      </c>
      <c r="B21" s="5" t="s">
        <v>113</v>
      </c>
      <c r="C21" s="64">
        <f t="shared" si="6"/>
        <v>-5.3518450999999914</v>
      </c>
      <c r="D21" s="64">
        <f t="shared" si="7"/>
        <v>-1.1735378799999978</v>
      </c>
      <c r="E21" s="35">
        <f t="shared" si="3"/>
        <v>-0.78072274924399443</v>
      </c>
      <c r="G21" s="57">
        <f t="shared" si="0"/>
        <v>15</v>
      </c>
      <c r="H21" s="5" t="s">
        <v>113</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-8.7086812399999971</v>
      </c>
      <c r="AU21" s="43">
        <v>-0.90205733000000166</v>
      </c>
      <c r="AV21" s="43">
        <v>-1.1735378799999978</v>
      </c>
    </row>
    <row r="22" spans="1:48">
      <c r="A22" s="1">
        <v>16</v>
      </c>
      <c r="B22" s="5" t="s">
        <v>114</v>
      </c>
      <c r="C22" s="64">
        <f t="shared" si="6"/>
        <v>-21.827071390000015</v>
      </c>
      <c r="D22" s="64">
        <f t="shared" si="7"/>
        <v>-19.688287360000004</v>
      </c>
      <c r="E22" s="35">
        <f t="shared" si="3"/>
        <v>-9.7987677402287088E-2</v>
      </c>
      <c r="G22" s="57">
        <f t="shared" si="0"/>
        <v>16</v>
      </c>
      <c r="H22" s="5" t="s">
        <v>114</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-55.675935639999999</v>
      </c>
      <c r="AU22" s="43">
        <v>-22.305689220000012</v>
      </c>
      <c r="AV22" s="43">
        <v>-19.688287360000004</v>
      </c>
    </row>
    <row r="23" spans="1:48">
      <c r="A23" s="1">
        <v>17</v>
      </c>
      <c r="B23" s="5" t="s">
        <v>143</v>
      </c>
      <c r="C23" s="64">
        <f t="shared" si="6"/>
        <v>-16.66</v>
      </c>
      <c r="D23" s="64">
        <f t="shared" si="7"/>
        <v>-24.150256703251269</v>
      </c>
      <c r="E23" s="35">
        <f t="shared" si="3"/>
        <v>0.44959524029119269</v>
      </c>
      <c r="G23" s="57">
        <f t="shared" si="0"/>
        <v>17</v>
      </c>
      <c r="H23" s="5" t="s">
        <v>143</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-23.10959951625065</v>
      </c>
      <c r="AU23" s="43">
        <v>-19.581539097677908</v>
      </c>
      <c r="AV23" s="43">
        <v>-24.150256703251269</v>
      </c>
    </row>
    <row r="24" spans="1:48">
      <c r="A24" s="1">
        <v>18</v>
      </c>
      <c r="C24" s="97"/>
      <c r="D24" s="97"/>
      <c r="E24" s="39"/>
      <c r="G24" s="57">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row>
    <row r="25" spans="1:48">
      <c r="A25" s="1">
        <v>19</v>
      </c>
      <c r="B25" s="2" t="s">
        <v>144</v>
      </c>
      <c r="C25" s="93">
        <f>HLOOKUP($C$7,$H$7:$BL$33,$G25,FALSE)</f>
        <v>259.19456512764049</v>
      </c>
      <c r="D25" s="93">
        <f>HLOOKUP($D$7,$H$7:$BL$33,$G25,FALSE)</f>
        <v>172.15459329915188</v>
      </c>
      <c r="E25" s="37">
        <f t="shared" si="3"/>
        <v>-0.33580940165788475</v>
      </c>
      <c r="F25" s="53"/>
      <c r="G25" s="57">
        <f t="shared" si="0"/>
        <v>19</v>
      </c>
      <c r="H25" s="2" t="s">
        <v>144</v>
      </c>
      <c r="I25" s="9">
        <f t="shared" ref="I25:AE25" si="11">I17+I10</f>
        <v>137.89374637000003</v>
      </c>
      <c r="J25" s="9">
        <f t="shared" si="11"/>
        <v>162.44525369000002</v>
      </c>
      <c r="K25" s="9">
        <f t="shared" si="11"/>
        <v>137.48338611999998</v>
      </c>
      <c r="L25" s="9">
        <f t="shared" si="11"/>
        <v>181.04590640999999</v>
      </c>
      <c r="M25" s="9">
        <f t="shared" si="11"/>
        <v>111.84702719000003</v>
      </c>
      <c r="N25" s="9">
        <f t="shared" si="11"/>
        <v>157.19356322000004</v>
      </c>
      <c r="O25" s="9">
        <f t="shared" si="11"/>
        <v>200.96953452999998</v>
      </c>
      <c r="P25" s="9">
        <f t="shared" si="11"/>
        <v>196.5</v>
      </c>
      <c r="Q25" s="9">
        <f t="shared" si="11"/>
        <v>174.20261859999999</v>
      </c>
      <c r="R25" s="9">
        <f t="shared" si="11"/>
        <v>165.02881524999998</v>
      </c>
      <c r="S25" s="9">
        <f t="shared" si="11"/>
        <v>130.51520865999996</v>
      </c>
      <c r="T25" s="9">
        <f t="shared" si="11"/>
        <v>169.52104676999997</v>
      </c>
      <c r="U25" s="9">
        <f t="shared" si="11"/>
        <v>167.14281708999997</v>
      </c>
      <c r="V25" s="9">
        <f t="shared" si="11"/>
        <v>170.80365676000002</v>
      </c>
      <c r="W25" s="9">
        <f t="shared" si="11"/>
        <v>185.34389436999996</v>
      </c>
      <c r="X25" s="9">
        <f t="shared" si="11"/>
        <v>217.99880021000004</v>
      </c>
      <c r="Y25" s="9">
        <f t="shared" si="11"/>
        <v>180.10621122000003</v>
      </c>
      <c r="Z25" s="9">
        <f t="shared" si="11"/>
        <v>167.37775774000008</v>
      </c>
      <c r="AA25" s="9">
        <f t="shared" si="11"/>
        <v>173.78870720000003</v>
      </c>
      <c r="AB25" s="9">
        <f t="shared" si="11"/>
        <v>230.59628267000002</v>
      </c>
      <c r="AC25" s="9">
        <f t="shared" si="11"/>
        <v>170.62513011000001</v>
      </c>
      <c r="AD25" s="9">
        <f t="shared" si="11"/>
        <v>178.36596232000002</v>
      </c>
      <c r="AE25" s="9">
        <f t="shared" si="11"/>
        <v>183.58786783000005</v>
      </c>
      <c r="AF25" s="9">
        <f t="shared" ref="AF25:AJ25" si="12">AF17+AF10</f>
        <v>187.48957726131368</v>
      </c>
      <c r="AG25" s="9">
        <f t="shared" si="12"/>
        <v>175.95360103000004</v>
      </c>
      <c r="AH25" s="9">
        <f t="shared" si="12"/>
        <v>166.56677347999999</v>
      </c>
      <c r="AI25" s="9">
        <f t="shared" si="12"/>
        <v>183.49524977999997</v>
      </c>
      <c r="AJ25" s="9">
        <f t="shared" si="12"/>
        <v>188.01667729907101</v>
      </c>
      <c r="AK25" s="9">
        <f>AK17+AK10</f>
        <v>151.8117141594561</v>
      </c>
      <c r="AL25" s="9">
        <f>AL17+AL10</f>
        <v>147.6328105792995</v>
      </c>
      <c r="AM25" s="9">
        <f>AM17+AM10</f>
        <v>60.766985820000031</v>
      </c>
      <c r="AN25" s="9">
        <v>177.22567208228426</v>
      </c>
      <c r="AO25" s="9">
        <v>149.74889408738284</v>
      </c>
      <c r="AP25" s="9">
        <v>162.21798289443126</v>
      </c>
      <c r="AQ25" s="9">
        <v>210.94</v>
      </c>
      <c r="AR25" s="9">
        <v>259.19456512764049</v>
      </c>
      <c r="AS25" s="9">
        <f>AS17+AS10</f>
        <v>201.37976835056162</v>
      </c>
      <c r="AT25" s="9">
        <v>171.66275798273546</v>
      </c>
      <c r="AU25" s="9">
        <v>211.40222353701657</v>
      </c>
      <c r="AV25" s="9">
        <f>AV10+AV17</f>
        <v>172.15459329915188</v>
      </c>
    </row>
    <row r="26" spans="1:48">
      <c r="A26" s="1">
        <v>20</v>
      </c>
      <c r="C26" s="97"/>
      <c r="D26" s="97"/>
      <c r="E26" s="39"/>
      <c r="G26" s="57">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row>
    <row r="27" spans="1:48">
      <c r="A27" s="1">
        <v>21</v>
      </c>
      <c r="B27" s="5" t="s">
        <v>117</v>
      </c>
      <c r="C27" s="64">
        <f>HLOOKUP($C$7,$H$7:$BL$33,$G27,FALSE)</f>
        <v>-19.090453094425904</v>
      </c>
      <c r="D27" s="64">
        <f>HLOOKUP($D$7,$H$7:$BL$33,$G27,FALSE)</f>
        <v>-20.021616717902926</v>
      </c>
      <c r="E27" s="35">
        <f t="shared" si="3"/>
        <v>4.8776402470452895E-2</v>
      </c>
      <c r="F27" s="52"/>
      <c r="G27" s="57">
        <f t="shared" si="0"/>
        <v>21</v>
      </c>
      <c r="H27" s="5" t="s">
        <v>117</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-21.133934443273912</v>
      </c>
      <c r="AU27" s="43">
        <v>-21.092168078135348</v>
      </c>
      <c r="AV27" s="43">
        <v>-20.021616717902926</v>
      </c>
    </row>
    <row r="28" spans="1:48">
      <c r="A28" s="1">
        <v>22</v>
      </c>
      <c r="B28" s="5" t="s">
        <v>145</v>
      </c>
      <c r="C28" s="64">
        <f>HLOOKUP($C$7,$H$7:$BL$33,$G28,FALSE)</f>
        <v>-14.44</v>
      </c>
      <c r="D28" s="64">
        <f>HLOOKUP($D$7,$H$7:$BL$33,$G28,FALSE)</f>
        <v>-15.499407698992222</v>
      </c>
      <c r="E28" s="35">
        <f t="shared" si="3"/>
        <v>7.3366184140735591E-2</v>
      </c>
      <c r="G28" s="57">
        <f t="shared" si="0"/>
        <v>22</v>
      </c>
      <c r="H28" s="5" t="s">
        <v>145</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-16.014784717743069</v>
      </c>
      <c r="AU28" s="43">
        <v>-13.118692019145115</v>
      </c>
      <c r="AV28" s="43">
        <v>-15.499407698992222</v>
      </c>
    </row>
    <row r="29" spans="1:48">
      <c r="A29" s="1">
        <v>23</v>
      </c>
      <c r="B29" s="5" t="s">
        <v>119</v>
      </c>
      <c r="C29" s="64">
        <f>HLOOKUP($C$7,$H$7:$BL$33,$G29,FALSE)</f>
        <v>-48.246406215271165</v>
      </c>
      <c r="D29" s="64">
        <f>HLOOKUP($D$7,$H$7:$BL$33,$G29,FALSE)</f>
        <v>-45.163429373454527</v>
      </c>
      <c r="E29" s="35">
        <f t="shared" si="3"/>
        <v>-6.3900652580436201E-2</v>
      </c>
      <c r="G29" s="57">
        <f t="shared" si="0"/>
        <v>23</v>
      </c>
      <c r="H29" s="5" t="s">
        <v>119</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-41.810213123271375</v>
      </c>
      <c r="AU29" s="43">
        <v>-41.64694816039836</v>
      </c>
      <c r="AV29" s="43">
        <v>-45.163429373454527</v>
      </c>
    </row>
    <row r="30" spans="1:48">
      <c r="A30" s="1">
        <v>24</v>
      </c>
      <c r="C30" s="97"/>
      <c r="D30" s="97"/>
      <c r="E30" s="39"/>
      <c r="G30" s="57">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c r="A31" s="1">
        <v>25</v>
      </c>
      <c r="B31" s="2" t="s">
        <v>146</v>
      </c>
      <c r="C31" s="93">
        <f>HLOOKUP($C$7,$H$7:$BL$33,$G31,FALSE)</f>
        <v>177.41770581794344</v>
      </c>
      <c r="D31" s="93">
        <f>HLOOKUP($D$7,$H$7:$BL$33,$G31,FALSE)</f>
        <v>91.470139508802191</v>
      </c>
      <c r="E31" s="92">
        <f t="shared" si="3"/>
        <v>-0.4844362399620703</v>
      </c>
      <c r="G31" s="57">
        <f t="shared" si="0"/>
        <v>25</v>
      </c>
      <c r="H31" s="2" t="s">
        <v>146</v>
      </c>
      <c r="I31" s="9">
        <f t="shared" ref="I31:AE31" si="13">I25+I27+I28+I29</f>
        <v>77.800892900000022</v>
      </c>
      <c r="J31" s="9">
        <f t="shared" si="13"/>
        <v>94.644525479999999</v>
      </c>
      <c r="K31" s="9">
        <f t="shared" si="13"/>
        <v>70.629866509999971</v>
      </c>
      <c r="L31" s="9">
        <f t="shared" si="13"/>
        <v>111.10687665999998</v>
      </c>
      <c r="M31" s="9">
        <f t="shared" si="13"/>
        <v>45.325441340000026</v>
      </c>
      <c r="N31" s="9">
        <f t="shared" si="13"/>
        <v>87.98138193000004</v>
      </c>
      <c r="O31" s="9">
        <f t="shared" si="13"/>
        <v>132.02826607999998</v>
      </c>
      <c r="P31" s="9">
        <f t="shared" si="13"/>
        <v>123.1</v>
      </c>
      <c r="Q31" s="9">
        <f t="shared" si="13"/>
        <v>105.64681671</v>
      </c>
      <c r="R31" s="9">
        <f t="shared" si="13"/>
        <v>94.886658069999967</v>
      </c>
      <c r="S31" s="9">
        <f t="shared" si="13"/>
        <v>57.428472359999958</v>
      </c>
      <c r="T31" s="9">
        <f t="shared" si="13"/>
        <v>91.720371839999956</v>
      </c>
      <c r="U31" s="9">
        <f t="shared" si="13"/>
        <v>91.850211179999945</v>
      </c>
      <c r="V31" s="9">
        <f t="shared" si="13"/>
        <v>95.226815070000015</v>
      </c>
      <c r="W31" s="9">
        <f t="shared" si="13"/>
        <v>108.84562639999996</v>
      </c>
      <c r="X31" s="9">
        <f t="shared" si="13"/>
        <v>151.36591756000004</v>
      </c>
      <c r="Y31" s="9">
        <f t="shared" si="13"/>
        <v>103.18760492000004</v>
      </c>
      <c r="Z31" s="9">
        <f t="shared" si="13"/>
        <v>91.101717910000062</v>
      </c>
      <c r="AA31" s="9">
        <f t="shared" si="13"/>
        <v>97.767246650000033</v>
      </c>
      <c r="AB31" s="9">
        <f t="shared" si="13"/>
        <v>152.02939168000003</v>
      </c>
      <c r="AC31" s="9">
        <f t="shared" si="13"/>
        <v>97.442282880000036</v>
      </c>
      <c r="AD31" s="9">
        <f t="shared" si="13"/>
        <v>103.01522548000003</v>
      </c>
      <c r="AE31" s="9">
        <f t="shared" si="13"/>
        <v>110.64255732000005</v>
      </c>
      <c r="AF31" s="9">
        <f>AF25+AF27+AF28+AF29</f>
        <v>115.16226758131363</v>
      </c>
      <c r="AG31" s="9">
        <f t="shared" ref="AG31:AM31" si="14">AG25+AG27+AG28+AG29</f>
        <v>103.39224389000003</v>
      </c>
      <c r="AH31" s="9">
        <f t="shared" si="14"/>
        <v>92.232737150000005</v>
      </c>
      <c r="AI31" s="9">
        <f t="shared" si="14"/>
        <v>109.40993016999997</v>
      </c>
      <c r="AJ31" s="9">
        <f t="shared" si="14"/>
        <v>112.40512253786805</v>
      </c>
      <c r="AK31" s="9">
        <f t="shared" si="14"/>
        <v>73.942105089472108</v>
      </c>
      <c r="AL31" s="9">
        <f t="shared" si="14"/>
        <v>71.688433377798106</v>
      </c>
      <c r="AM31" s="9">
        <f t="shared" si="14"/>
        <v>-11.968902678896768</v>
      </c>
      <c r="AN31" s="9">
        <f>AN25+AN27+AN28+AN29</f>
        <v>102.37536540577838</v>
      </c>
      <c r="AO31" s="9">
        <f>AO25+AO27+AO28+AO29</f>
        <v>76.584508460742228</v>
      </c>
      <c r="AP31" s="9">
        <f>AP25+AP27+AP28+AP29</f>
        <v>84.69239529886363</v>
      </c>
      <c r="AQ31" s="9">
        <f t="shared" ref="AQ31" si="15">AQ25+AQ27+AQ28+AQ29</f>
        <v>135.23000000000002</v>
      </c>
      <c r="AR31" s="9">
        <f>AR25+AR27+AR28+AR29</f>
        <v>177.41770581794344</v>
      </c>
      <c r="AS31" s="9">
        <f t="shared" ref="AS31:AT31" si="16">AS25+AS27+AS28+AS29</f>
        <v>125.45029065995817</v>
      </c>
      <c r="AT31" s="9">
        <f t="shared" si="16"/>
        <v>92.703825698447105</v>
      </c>
      <c r="AU31" s="9">
        <v>135.54441527933776</v>
      </c>
      <c r="AV31" s="9">
        <f>AV25+AV27+AV28+AV29</f>
        <v>91.470139508802191</v>
      </c>
    </row>
    <row r="32" spans="1:48">
      <c r="A32" s="1">
        <v>26</v>
      </c>
      <c r="B32" s="40"/>
      <c r="C32" s="98"/>
      <c r="D32" s="98"/>
      <c r="E32" s="42"/>
      <c r="G32" s="57">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row>
    <row r="33" spans="1:49">
      <c r="A33" s="1">
        <v>27</v>
      </c>
      <c r="B33" s="2" t="s">
        <v>121</v>
      </c>
      <c r="C33" s="93">
        <f>HLOOKUP($C$7,$H$7:$BL$33,$G33,FALSE)</f>
        <v>225.66411203321462</v>
      </c>
      <c r="D33" s="93">
        <f>HLOOKUP($D$7,$H$7:$BL$33,$G33,FALSE)</f>
        <v>136.63356888225672</v>
      </c>
      <c r="E33" s="37">
        <f t="shared" si="3"/>
        <v>-0.39452681398384626</v>
      </c>
      <c r="F33" s="66"/>
      <c r="G33" s="57">
        <f t="shared" si="0"/>
        <v>27</v>
      </c>
      <c r="H33" s="2" t="s">
        <v>121</v>
      </c>
      <c r="I33" s="9">
        <f t="shared" ref="I33:AE33" si="17">I31-I29</f>
        <v>119.75269847000003</v>
      </c>
      <c r="J33" s="9">
        <f t="shared" si="17"/>
        <v>140.83003524</v>
      </c>
      <c r="K33" s="9">
        <f t="shared" si="17"/>
        <v>116.97134203999997</v>
      </c>
      <c r="L33" s="9">
        <f t="shared" si="17"/>
        <v>159.00253423999999</v>
      </c>
      <c r="M33" s="9">
        <f t="shared" si="17"/>
        <v>92.777901910000026</v>
      </c>
      <c r="N33" s="9">
        <f t="shared" si="17"/>
        <v>136.36632230000004</v>
      </c>
      <c r="O33" s="9">
        <f t="shared" si="17"/>
        <v>180.89013841999997</v>
      </c>
      <c r="P33" s="9">
        <f t="shared" si="17"/>
        <v>172.1</v>
      </c>
      <c r="Q33" s="9">
        <f t="shared" si="17"/>
        <v>153.50584536</v>
      </c>
      <c r="R33" s="9">
        <f t="shared" si="17"/>
        <v>141.99036778999996</v>
      </c>
      <c r="S33" s="9">
        <f t="shared" si="17"/>
        <v>106.45215646999996</v>
      </c>
      <c r="T33" s="9">
        <f t="shared" si="17"/>
        <v>143.76368152999996</v>
      </c>
      <c r="U33" s="9">
        <f t="shared" si="17"/>
        <v>143.38770248999995</v>
      </c>
      <c r="V33" s="9">
        <f t="shared" si="17"/>
        <v>147.56513600000002</v>
      </c>
      <c r="W33" s="9">
        <f t="shared" si="17"/>
        <v>160.55474137999997</v>
      </c>
      <c r="X33" s="9">
        <f t="shared" si="17"/>
        <v>187.03663926000004</v>
      </c>
      <c r="Y33" s="9">
        <f t="shared" si="17"/>
        <v>153.65594515000004</v>
      </c>
      <c r="Z33" s="9">
        <f t="shared" si="17"/>
        <v>141.67942827000007</v>
      </c>
      <c r="AA33" s="9">
        <f t="shared" si="17"/>
        <v>148.98190353000004</v>
      </c>
      <c r="AB33" s="9">
        <f t="shared" si="17"/>
        <v>203.46099371000003</v>
      </c>
      <c r="AC33" s="9">
        <f t="shared" si="17"/>
        <v>148.89923142000004</v>
      </c>
      <c r="AD33" s="9">
        <f t="shared" si="17"/>
        <v>155.29624958000002</v>
      </c>
      <c r="AE33" s="9">
        <f t="shared" si="17"/>
        <v>162.73409286000006</v>
      </c>
      <c r="AF33" s="9">
        <f>AF31-AF29</f>
        <v>163.94535199131366</v>
      </c>
      <c r="AG33" s="9">
        <f>172.34723633-AG67</f>
        <v>152.76533661999997</v>
      </c>
      <c r="AH33" s="9">
        <f>155.26443032-AH67</f>
        <v>141.73772126</v>
      </c>
      <c r="AI33" s="9">
        <f>174.98602269-AI67</f>
        <v>159.32966021999999</v>
      </c>
      <c r="AJ33" s="9">
        <f>AJ31-AJ29</f>
        <v>163.66890341786805</v>
      </c>
      <c r="AK33" s="9">
        <f>137.354311322426-AK67</f>
        <v>120.42025945242602</v>
      </c>
      <c r="AL33" s="9">
        <v>115.09148957484453</v>
      </c>
      <c r="AM33" s="9">
        <f>71.84-AM67</f>
        <v>51.977266710000002</v>
      </c>
      <c r="AN33" s="9">
        <v>146.092286297025</v>
      </c>
      <c r="AO33" s="9">
        <f t="shared" ref="AO33:AT33" si="18">AO31-AO29</f>
        <v>120.58377339727734</v>
      </c>
      <c r="AP33" s="9">
        <f t="shared" si="18"/>
        <v>131.09156418453671</v>
      </c>
      <c r="AQ33" s="9">
        <f t="shared" si="18"/>
        <v>180.37</v>
      </c>
      <c r="AR33" s="9">
        <f t="shared" si="18"/>
        <v>225.66411203321462</v>
      </c>
      <c r="AS33" s="9">
        <f t="shared" si="18"/>
        <v>167.06066236419252</v>
      </c>
      <c r="AT33" s="9">
        <f t="shared" si="18"/>
        <v>134.51403882171849</v>
      </c>
      <c r="AU33" s="9">
        <v>177.19136343973611</v>
      </c>
      <c r="AV33" s="9">
        <f>AV31-AV29</f>
        <v>136.63356888225672</v>
      </c>
    </row>
    <row r="34" spans="1:49">
      <c r="AW34" s="102"/>
    </row>
    <row r="35" spans="1:49">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row>
    <row r="36" spans="1:49">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row>
    <row r="37" spans="1:49" ht="28.5" customHeight="1">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row>
    <row r="38" spans="1:49" ht="28.5" customHeight="1">
      <c r="B38" s="72"/>
      <c r="C38" s="72"/>
      <c r="D38" s="72"/>
      <c r="E38" s="82"/>
      <c r="F38" s="72"/>
      <c r="G38" s="99"/>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row>
    <row r="39" spans="1:49" ht="28.5" customHeight="1"/>
    <row r="40" spans="1:49" ht="23.5">
      <c r="B40" s="11" t="s">
        <v>37</v>
      </c>
      <c r="C40" s="12"/>
      <c r="D40" s="12"/>
      <c r="E40" s="12"/>
      <c r="H40" s="11" t="s">
        <v>37</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row>
    <row r="41" spans="1:49" ht="9" customHeight="1"/>
    <row r="42" spans="1:49">
      <c r="A42" s="1">
        <v>1</v>
      </c>
      <c r="B42" s="3" t="s">
        <v>137</v>
      </c>
      <c r="C42" s="108" t="str">
        <f>C7</f>
        <v>4Q22</v>
      </c>
      <c r="D42" s="108" t="str">
        <f>D7</f>
        <v>4Q23</v>
      </c>
      <c r="E42" s="108" t="s">
        <v>138</v>
      </c>
      <c r="G42" s="57">
        <v>1</v>
      </c>
      <c r="H42" s="3" t="s">
        <v>147</v>
      </c>
      <c r="I42" s="108" t="s">
        <v>47</v>
      </c>
      <c r="J42" s="108" t="s">
        <v>48</v>
      </c>
      <c r="K42" s="108" t="s">
        <v>49</v>
      </c>
      <c r="L42" s="108" t="s">
        <v>50</v>
      </c>
      <c r="M42" s="108" t="s">
        <v>51</v>
      </c>
      <c r="N42" s="108" t="s">
        <v>52</v>
      </c>
      <c r="O42" s="108" t="s">
        <v>53</v>
      </c>
      <c r="P42" s="108" t="s">
        <v>54</v>
      </c>
      <c r="Q42" s="108" t="s">
        <v>55</v>
      </c>
      <c r="R42" s="108" t="s">
        <v>56</v>
      </c>
      <c r="S42" s="108" t="s">
        <v>57</v>
      </c>
      <c r="T42" s="108" t="s">
        <v>58</v>
      </c>
      <c r="U42" s="108" t="s">
        <v>59</v>
      </c>
      <c r="V42" s="108" t="s">
        <v>60</v>
      </c>
      <c r="W42" s="108" t="s">
        <v>61</v>
      </c>
      <c r="X42" s="108" t="s">
        <v>62</v>
      </c>
      <c r="Y42" s="108" t="s">
        <v>63</v>
      </c>
      <c r="Z42" s="108" t="s">
        <v>64</v>
      </c>
      <c r="AA42" s="108" t="s">
        <v>65</v>
      </c>
      <c r="AB42" s="108" t="s">
        <v>66</v>
      </c>
      <c r="AC42" s="108" t="s">
        <v>67</v>
      </c>
      <c r="AD42" s="108" t="s">
        <v>104</v>
      </c>
      <c r="AE42" s="108" t="s">
        <v>148</v>
      </c>
      <c r="AF42" s="108" t="s">
        <v>149</v>
      </c>
      <c r="AG42" s="108" t="s">
        <v>71</v>
      </c>
      <c r="AH42" s="108" t="s">
        <v>72</v>
      </c>
      <c r="AI42" s="108" t="s">
        <v>73</v>
      </c>
      <c r="AJ42" s="108" t="s">
        <v>74</v>
      </c>
      <c r="AK42" s="108" t="s">
        <v>75</v>
      </c>
      <c r="AL42" s="108" t="s">
        <v>76</v>
      </c>
      <c r="AM42" s="108" t="s">
        <v>77</v>
      </c>
      <c r="AN42" s="108" t="s">
        <v>78</v>
      </c>
      <c r="AO42" s="108" t="s">
        <v>79</v>
      </c>
      <c r="AP42" s="108" t="s">
        <v>80</v>
      </c>
      <c r="AQ42" s="108" t="s">
        <v>81</v>
      </c>
      <c r="AR42" s="108" t="s">
        <v>43</v>
      </c>
      <c r="AS42" s="108" t="s">
        <v>82</v>
      </c>
      <c r="AT42" s="108" t="s">
        <v>83</v>
      </c>
      <c r="AU42" s="108" t="s">
        <v>84</v>
      </c>
      <c r="AV42" s="108" t="s">
        <v>44</v>
      </c>
    </row>
    <row r="43" spans="1:49">
      <c r="A43" s="1">
        <v>2</v>
      </c>
      <c r="B43" s="3" t="s">
        <v>105</v>
      </c>
      <c r="C43" s="108"/>
      <c r="D43" s="108"/>
      <c r="E43" s="108"/>
      <c r="G43" s="57">
        <f>G42+1</f>
        <v>2</v>
      </c>
      <c r="H43" s="3" t="s">
        <v>105</v>
      </c>
      <c r="I43" s="108"/>
      <c r="J43" s="108"/>
      <c r="K43" s="108"/>
      <c r="L43" s="108"/>
      <c r="M43" s="108"/>
      <c r="N43" s="108"/>
      <c r="O43" s="108"/>
      <c r="P43" s="108"/>
      <c r="Q43" s="108"/>
      <c r="R43" s="108"/>
      <c r="S43" s="108"/>
      <c r="T43" s="108"/>
      <c r="U43" s="108"/>
      <c r="V43" s="108"/>
      <c r="W43" s="108"/>
      <c r="X43" s="108"/>
      <c r="Y43" s="108"/>
      <c r="Z43" s="108"/>
      <c r="AA43" s="108"/>
      <c r="AB43" s="108"/>
      <c r="AC43" s="108" t="s">
        <v>67</v>
      </c>
      <c r="AD43" s="108" t="s">
        <v>67</v>
      </c>
      <c r="AE43" s="108" t="s">
        <v>67</v>
      </c>
      <c r="AF43" s="108" t="s">
        <v>67</v>
      </c>
      <c r="AG43" s="108"/>
      <c r="AH43" s="108"/>
      <c r="AI43" s="108"/>
      <c r="AJ43" s="108" t="s">
        <v>67</v>
      </c>
      <c r="AK43" s="108"/>
      <c r="AL43" s="108"/>
      <c r="AM43" s="108"/>
      <c r="AN43" s="108"/>
      <c r="AO43" s="108"/>
      <c r="AP43" s="108"/>
      <c r="AQ43" s="108"/>
      <c r="AR43" s="108"/>
      <c r="AS43" s="108"/>
      <c r="AT43" s="108"/>
      <c r="AU43" s="108"/>
      <c r="AV43" s="108"/>
    </row>
    <row r="44" spans="1:49" ht="6.75" customHeight="1">
      <c r="A44" s="1">
        <v>3</v>
      </c>
      <c r="G44" s="57">
        <f t="shared" ref="G44:G67" si="19">G43+1</f>
        <v>3</v>
      </c>
    </row>
    <row r="45" spans="1:49">
      <c r="A45" s="1">
        <v>4</v>
      </c>
      <c r="B45" s="2" t="s">
        <v>137</v>
      </c>
      <c r="C45" s="9">
        <f t="shared" ref="C45:C50" si="20">HLOOKUP($C$42,$H$42:$BE$67,$G45,FALSE)</f>
        <v>85.251319180000024</v>
      </c>
      <c r="D45" s="9">
        <f t="shared" ref="D45:D50" si="21">HLOOKUP($D$42,$H$42:$BE$67,$G45,FALSE)</f>
        <v>62.456728449999957</v>
      </c>
      <c r="E45" s="67" t="s">
        <v>101</v>
      </c>
      <c r="G45" s="57">
        <f t="shared" si="19"/>
        <v>4</v>
      </c>
      <c r="H45" s="2" t="s">
        <v>137</v>
      </c>
      <c r="I45" s="31"/>
      <c r="J45" s="31"/>
      <c r="K45" s="31"/>
      <c r="L45" s="31"/>
      <c r="M45" s="31"/>
      <c r="N45" s="31"/>
      <c r="O45" s="31"/>
      <c r="P45" s="31"/>
      <c r="Q45" s="9">
        <f t="shared" ref="Q45:X45" si="22">SUM(Q46:Q50)</f>
        <v>55.583655499999999</v>
      </c>
      <c r="R45" s="9">
        <f t="shared" si="22"/>
        <v>54.9629184</v>
      </c>
      <c r="S45" s="9">
        <f t="shared" si="22"/>
        <v>49.082694860000004</v>
      </c>
      <c r="T45" s="9">
        <f t="shared" si="22"/>
        <v>57.097280980000001</v>
      </c>
      <c r="U45" s="9">
        <f t="shared" si="22"/>
        <v>47.636293819999999</v>
      </c>
      <c r="V45" s="9">
        <f t="shared" si="22"/>
        <v>46.971507459999998</v>
      </c>
      <c r="W45" s="9">
        <f t="shared" si="22"/>
        <v>51.493997259999993</v>
      </c>
      <c r="X45" s="9">
        <f t="shared" si="22"/>
        <v>46.735641690000008</v>
      </c>
      <c r="Y45" s="9">
        <f t="shared" ref="Y45:AE45" si="23">SUM(Y46:Y50)</f>
        <v>52.673049919999997</v>
      </c>
      <c r="Z45" s="9">
        <f t="shared" si="23"/>
        <v>52.289317230000002</v>
      </c>
      <c r="AA45" s="9">
        <f t="shared" si="23"/>
        <v>40.085187489999996</v>
      </c>
      <c r="AB45" s="9">
        <f t="shared" si="23"/>
        <v>38.385628109999999</v>
      </c>
      <c r="AC45" s="9">
        <f t="shared" si="23"/>
        <v>41.960275469999999</v>
      </c>
      <c r="AD45" s="9">
        <f t="shared" si="23"/>
        <v>41.306034390000001</v>
      </c>
      <c r="AE45" s="9">
        <f t="shared" si="23"/>
        <v>44.203243349999994</v>
      </c>
      <c r="AF45" s="9">
        <f t="shared" ref="AF45:AM45" si="24">SUM(AF46:AF50)</f>
        <v>47.314848999999995</v>
      </c>
      <c r="AG45" s="9">
        <f t="shared" si="24"/>
        <v>37.681899710000003</v>
      </c>
      <c r="AH45" s="9">
        <f t="shared" si="24"/>
        <v>34.790087870000001</v>
      </c>
      <c r="AI45" s="9">
        <f t="shared" si="24"/>
        <v>42.889557519999997</v>
      </c>
      <c r="AJ45" s="9">
        <f t="shared" si="24"/>
        <v>44.078781450000001</v>
      </c>
      <c r="AK45" s="9">
        <f t="shared" si="24"/>
        <v>37.959551309999995</v>
      </c>
      <c r="AL45" s="9">
        <f t="shared" si="24"/>
        <v>39.865567810000002</v>
      </c>
      <c r="AM45" s="9">
        <f t="shared" si="24"/>
        <v>48.977401450000002</v>
      </c>
      <c r="AN45" s="9">
        <f>SUM(AN46:AN50)</f>
        <v>45.018566209999996</v>
      </c>
      <c r="AO45" s="9">
        <f>SUM(AO46:AO50)</f>
        <v>55.119108129999994</v>
      </c>
      <c r="AP45" s="9">
        <f t="shared" ref="AP45:AR45" si="25">SUM(AP46:AP50)</f>
        <v>52.990921339999993</v>
      </c>
      <c r="AQ45" s="9">
        <f t="shared" si="25"/>
        <v>59.16</v>
      </c>
      <c r="AR45" s="9">
        <f t="shared" si="25"/>
        <v>85.251319180000024</v>
      </c>
      <c r="AS45" s="9">
        <v>59.551101580000008</v>
      </c>
      <c r="AT45" s="9">
        <v>63.674510569999995</v>
      </c>
      <c r="AU45" s="9">
        <f>SUM(AU46:AU51)</f>
        <v>126.55246784000001</v>
      </c>
      <c r="AV45" s="9">
        <v>62.456728449999957</v>
      </c>
    </row>
    <row r="46" spans="1:49">
      <c r="A46" s="1">
        <v>5</v>
      </c>
      <c r="B46" s="5" t="s">
        <v>139</v>
      </c>
      <c r="C46" s="7">
        <f t="shared" si="20"/>
        <v>38.99920877000001</v>
      </c>
      <c r="D46" s="7">
        <f t="shared" si="21"/>
        <v>40.60102521999999</v>
      </c>
      <c r="E46" s="35">
        <f>D46/C46-1</f>
        <v>4.1073049954597263E-2</v>
      </c>
      <c r="G46" s="57">
        <f t="shared" si="19"/>
        <v>5</v>
      </c>
      <c r="H46" s="5" t="s">
        <v>139</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row>
    <row r="47" spans="1:49">
      <c r="A47" s="1">
        <v>6</v>
      </c>
      <c r="B47" s="5" t="s">
        <v>140</v>
      </c>
      <c r="C47" s="7">
        <f t="shared" si="20"/>
        <v>5.3602715899999991</v>
      </c>
      <c r="D47" s="7">
        <f t="shared" si="21"/>
        <v>14.814519709999985</v>
      </c>
      <c r="E47" s="48" t="s">
        <v>101</v>
      </c>
      <c r="G47" s="57">
        <f t="shared" si="19"/>
        <v>6</v>
      </c>
      <c r="H47" s="5" t="s">
        <v>140</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row>
    <row r="48" spans="1:49">
      <c r="A48" s="1">
        <v>7</v>
      </c>
      <c r="B48" s="5" t="s">
        <v>141</v>
      </c>
      <c r="C48" s="7">
        <f t="shared" si="20"/>
        <v>39.128817650000016</v>
      </c>
      <c r="D48" s="7">
        <f t="shared" si="21"/>
        <v>5.917764819999995</v>
      </c>
      <c r="E48" s="48" t="s">
        <v>101</v>
      </c>
      <c r="G48" s="57">
        <f t="shared" si="19"/>
        <v>7</v>
      </c>
      <c r="H48" s="5" t="s">
        <v>150</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row>
    <row r="49" spans="1:48">
      <c r="A49" s="1">
        <v>8</v>
      </c>
      <c r="B49" s="5" t="s">
        <v>110</v>
      </c>
      <c r="C49" s="89">
        <f t="shared" si="20"/>
        <v>0</v>
      </c>
      <c r="D49" s="89">
        <f t="shared" si="21"/>
        <v>0</v>
      </c>
      <c r="E49" s="48" t="s">
        <v>101</v>
      </c>
      <c r="G49" s="57">
        <f t="shared" si="19"/>
        <v>8</v>
      </c>
      <c r="H49" s="5" t="s">
        <v>110</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9">
        <v>0</v>
      </c>
      <c r="AG49" s="59">
        <v>0</v>
      </c>
      <c r="AH49" s="59"/>
      <c r="AI49" s="59"/>
      <c r="AJ49" s="59"/>
      <c r="AK49" s="59">
        <v>0</v>
      </c>
      <c r="AL49" s="59">
        <v>0</v>
      </c>
      <c r="AM49" s="59">
        <v>0</v>
      </c>
      <c r="AN49" s="59">
        <v>0</v>
      </c>
      <c r="AO49" s="59">
        <v>0</v>
      </c>
      <c r="AP49" s="59">
        <v>0</v>
      </c>
      <c r="AQ49" s="59">
        <v>0</v>
      </c>
      <c r="AR49" s="59">
        <v>0</v>
      </c>
      <c r="AS49" s="59">
        <v>0</v>
      </c>
      <c r="AT49" s="89" t="s">
        <v>101</v>
      </c>
      <c r="AU49" s="89" t="s">
        <v>101</v>
      </c>
      <c r="AV49" s="89">
        <v>0</v>
      </c>
    </row>
    <row r="50" spans="1:48">
      <c r="A50" s="1">
        <v>9</v>
      </c>
      <c r="B50" s="5" t="s">
        <v>108</v>
      </c>
      <c r="C50" s="7">
        <f t="shared" si="20"/>
        <v>1.76302117</v>
      </c>
      <c r="D50" s="7">
        <f t="shared" si="21"/>
        <v>1.1234187000000002</v>
      </c>
      <c r="E50" s="48">
        <f>D50/C50-1</f>
        <v>-0.36278774236159617</v>
      </c>
      <c r="G50" s="57">
        <f t="shared" si="19"/>
        <v>9</v>
      </c>
      <c r="H50" s="5" t="s">
        <v>108</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row>
    <row r="51" spans="1:48" ht="4.5" customHeight="1">
      <c r="A51" s="1">
        <v>10</v>
      </c>
      <c r="G51" s="57">
        <f t="shared" si="19"/>
        <v>10</v>
      </c>
    </row>
    <row r="52" spans="1:48">
      <c r="A52" s="1">
        <v>11</v>
      </c>
      <c r="B52" s="2" t="s">
        <v>142</v>
      </c>
      <c r="C52" s="9">
        <f t="shared" ref="C52:C57" si="26">HLOOKUP($C$42,$H$42:$BE$67,$G52,FALSE)</f>
        <v>-46.144247429999979</v>
      </c>
      <c r="D52" s="9">
        <f t="shared" ref="D52:D57" si="27">HLOOKUP($D$42,$H$42:$BE$67,$G52,FALSE)</f>
        <v>-33.400281579999984</v>
      </c>
      <c r="E52" s="67" t="s">
        <v>101</v>
      </c>
      <c r="G52" s="57">
        <f t="shared" si="19"/>
        <v>11</v>
      </c>
      <c r="H52" s="2" t="s">
        <v>142</v>
      </c>
      <c r="I52" s="31"/>
      <c r="J52" s="31"/>
      <c r="K52" s="31"/>
      <c r="L52" s="31"/>
      <c r="M52" s="31"/>
      <c r="N52" s="31"/>
      <c r="O52" s="31"/>
      <c r="P52" s="31"/>
      <c r="Q52" s="9">
        <f t="shared" ref="Q52:X52" si="28">SUM(Q53:Q57)</f>
        <v>-32.306038980000004</v>
      </c>
      <c r="R52" s="9">
        <f t="shared" si="28"/>
        <v>-41.795531619999998</v>
      </c>
      <c r="S52" s="9">
        <f t="shared" si="28"/>
        <v>-30.759452379999999</v>
      </c>
      <c r="T52" s="9">
        <f t="shared" si="28"/>
        <v>-39.480105159999994</v>
      </c>
      <c r="U52" s="9">
        <f t="shared" si="28"/>
        <v>-34.353933659999996</v>
      </c>
      <c r="V52" s="9">
        <f t="shared" si="28"/>
        <v>-33.9733351</v>
      </c>
      <c r="W52" s="9">
        <f t="shared" si="28"/>
        <v>-35.661452799999999</v>
      </c>
      <c r="X52" s="9">
        <f t="shared" si="28"/>
        <v>-37.405603590000005</v>
      </c>
      <c r="Y52" s="9">
        <f t="shared" ref="Y52:AE52" si="29">SUM(Y53:Y57)</f>
        <v>-40.773118190000005</v>
      </c>
      <c r="Z52" s="9">
        <f t="shared" si="29"/>
        <v>-37.811925799999997</v>
      </c>
      <c r="AA52" s="9">
        <f t="shared" si="29"/>
        <v>-30.209554599999997</v>
      </c>
      <c r="AB52" s="9">
        <f>+SUM(AB53:AB57)</f>
        <v>-28.78228824</v>
      </c>
      <c r="AC52" s="9">
        <f t="shared" si="29"/>
        <v>-23.492882950000002</v>
      </c>
      <c r="AD52" s="9">
        <f t="shared" si="29"/>
        <v>-20.57628506</v>
      </c>
      <c r="AE52" s="9">
        <f t="shared" si="29"/>
        <v>-26.275369099999999</v>
      </c>
      <c r="AF52" s="9">
        <f t="shared" ref="AF52:AO52" si="30">SUM(AF53:AF57)</f>
        <v>-25.377440749999998</v>
      </c>
      <c r="AG52" s="9">
        <f t="shared" si="30"/>
        <v>-15.04848601</v>
      </c>
      <c r="AH52" s="9">
        <f t="shared" si="30"/>
        <v>-19.82229126</v>
      </c>
      <c r="AI52" s="9">
        <f t="shared" si="30"/>
        <v>-24.184998679999996</v>
      </c>
      <c r="AJ52" s="9">
        <f t="shared" si="30"/>
        <v>-25.542623639999995</v>
      </c>
      <c r="AK52" s="9">
        <f t="shared" si="30"/>
        <v>-17.433526780000001</v>
      </c>
      <c r="AL52" s="9">
        <f t="shared" si="30"/>
        <v>-22.079148879999995</v>
      </c>
      <c r="AM52" s="9">
        <f t="shared" si="30"/>
        <v>-25.808040840000004</v>
      </c>
      <c r="AN52" s="9">
        <f t="shared" si="30"/>
        <v>-23.148096080000023</v>
      </c>
      <c r="AO52" s="9">
        <f t="shared" si="30"/>
        <v>-25.704476410000002</v>
      </c>
      <c r="AP52" s="9">
        <f t="shared" ref="AP52:AR52" si="31">SUM(AP53:AP57)</f>
        <v>-27.852227609999996</v>
      </c>
      <c r="AQ52" s="9">
        <f t="shared" si="31"/>
        <v>-30.58</v>
      </c>
      <c r="AR52" s="9">
        <f t="shared" si="31"/>
        <v>-46.144247429999979</v>
      </c>
      <c r="AS52" s="9">
        <v>-29.944832589999997</v>
      </c>
      <c r="AT52" s="9">
        <v>-59.333584059999993</v>
      </c>
      <c r="AU52" s="9">
        <v>-72.648754730000036</v>
      </c>
      <c r="AV52" s="9">
        <v>-33.400281579999984</v>
      </c>
    </row>
    <row r="53" spans="1:48">
      <c r="A53" s="1">
        <v>12</v>
      </c>
      <c r="B53" s="5" t="s">
        <v>110</v>
      </c>
      <c r="C53" s="43">
        <f t="shared" si="26"/>
        <v>-1.5175163499999991</v>
      </c>
      <c r="D53" s="43">
        <f t="shared" si="27"/>
        <v>-1.2958125899999999</v>
      </c>
      <c r="E53" s="35">
        <f t="shared" ref="E53:E55" si="32">D53/C53-1</f>
        <v>-0.14609645556701867</v>
      </c>
      <c r="G53" s="57">
        <f t="shared" si="19"/>
        <v>12</v>
      </c>
      <c r="H53" s="5" t="s">
        <v>110</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row>
    <row r="54" spans="1:48">
      <c r="A54" s="1">
        <v>13</v>
      </c>
      <c r="B54" s="5" t="s">
        <v>111</v>
      </c>
      <c r="C54" s="43">
        <f t="shared" si="26"/>
        <v>-13.684449099999998</v>
      </c>
      <c r="D54" s="43">
        <f t="shared" si="27"/>
        <v>-4.9519673399999817</v>
      </c>
      <c r="E54" s="48" t="s">
        <v>101</v>
      </c>
      <c r="G54" s="57">
        <f t="shared" si="19"/>
        <v>13</v>
      </c>
      <c r="H54" s="5" t="s">
        <v>111</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row>
    <row r="55" spans="1:48">
      <c r="A55" s="1">
        <v>14</v>
      </c>
      <c r="B55" s="5" t="s">
        <v>112</v>
      </c>
      <c r="C55" s="43">
        <f t="shared" si="26"/>
        <v>-25.822281979999985</v>
      </c>
      <c r="D55" s="43">
        <f t="shared" si="27"/>
        <v>-23.998477999999988</v>
      </c>
      <c r="E55" s="35">
        <f t="shared" si="32"/>
        <v>-7.0629078460709982E-2</v>
      </c>
      <c r="F55" s="52"/>
      <c r="G55" s="57">
        <f t="shared" si="19"/>
        <v>14</v>
      </c>
      <c r="H55" s="5" t="s">
        <v>112</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row>
    <row r="56" spans="1:48">
      <c r="A56" s="1">
        <v>15</v>
      </c>
      <c r="B56" s="5" t="s">
        <v>113</v>
      </c>
      <c r="C56" s="64">
        <f t="shared" si="26"/>
        <v>0</v>
      </c>
      <c r="D56" s="64">
        <f t="shared" si="27"/>
        <v>1.9641400000001141E-3</v>
      </c>
      <c r="E56" s="48" t="s">
        <v>101</v>
      </c>
      <c r="G56" s="57">
        <f t="shared" si="19"/>
        <v>15</v>
      </c>
      <c r="H56" s="5" t="s">
        <v>113</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4">
        <v>0</v>
      </c>
      <c r="AN56" s="64">
        <v>0</v>
      </c>
      <c r="AO56" s="64">
        <v>0</v>
      </c>
      <c r="AP56" s="64">
        <v>-3.5201690000000001E-2</v>
      </c>
      <c r="AQ56" s="64">
        <v>0</v>
      </c>
      <c r="AR56" s="64">
        <v>0</v>
      </c>
      <c r="AS56" s="64">
        <v>0</v>
      </c>
      <c r="AT56" s="64" t="s">
        <v>101</v>
      </c>
      <c r="AU56" s="64">
        <v>-3.37775392</v>
      </c>
      <c r="AV56" s="64">
        <v>1.9641400000001141E-3</v>
      </c>
    </row>
    <row r="57" spans="1:48">
      <c r="A57" s="1">
        <v>16</v>
      </c>
      <c r="B57" s="5" t="s">
        <v>143</v>
      </c>
      <c r="C57" s="43">
        <f t="shared" si="26"/>
        <v>-5.12</v>
      </c>
      <c r="D57" s="43">
        <f t="shared" si="27"/>
        <v>-3.155987789999994</v>
      </c>
      <c r="E57" s="48" t="s">
        <v>101</v>
      </c>
      <c r="G57" s="57">
        <f t="shared" si="19"/>
        <v>16</v>
      </c>
      <c r="H57" s="5" t="s">
        <v>143</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row>
    <row r="58" spans="1:48" ht="4.5" customHeight="1">
      <c r="A58" s="1">
        <v>17</v>
      </c>
      <c r="C58" s="32"/>
      <c r="D58" s="32"/>
      <c r="E58" s="32"/>
      <c r="G58" s="57">
        <f t="shared" si="19"/>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row>
    <row r="59" spans="1:48">
      <c r="A59" s="1">
        <v>18</v>
      </c>
      <c r="B59" s="2" t="s">
        <v>144</v>
      </c>
      <c r="C59" s="9">
        <f>HLOOKUP($C$42,$H$42:$BE$67,$G59,FALSE)</f>
        <v>39.107071750000046</v>
      </c>
      <c r="D59" s="9">
        <f>HLOOKUP($D$42,$H$42:$BE$67,$G59,FALSE)</f>
        <v>29.056446869999988</v>
      </c>
      <c r="E59" s="37">
        <f>D59/C59-1</f>
        <v>-0.25700274733559014</v>
      </c>
      <c r="G59" s="57">
        <f t="shared" si="19"/>
        <v>18</v>
      </c>
      <c r="H59" s="2" t="s">
        <v>144</v>
      </c>
      <c r="I59" s="31"/>
      <c r="J59" s="31"/>
      <c r="K59" s="31"/>
      <c r="L59" s="31"/>
      <c r="M59" s="31"/>
      <c r="N59" s="31"/>
      <c r="O59" s="31"/>
      <c r="P59" s="31"/>
      <c r="Q59" s="9">
        <f t="shared" ref="Q59:X59" si="33">Q52+Q45</f>
        <v>23.277616519999995</v>
      </c>
      <c r="R59" s="9">
        <f t="shared" si="33"/>
        <v>13.167386780000001</v>
      </c>
      <c r="S59" s="9">
        <f t="shared" si="33"/>
        <v>18.323242480000005</v>
      </c>
      <c r="T59" s="9">
        <f t="shared" si="33"/>
        <v>17.617175820000007</v>
      </c>
      <c r="U59" s="9">
        <f t="shared" si="33"/>
        <v>13.282360160000003</v>
      </c>
      <c r="V59" s="9">
        <f t="shared" si="33"/>
        <v>12.998172359999998</v>
      </c>
      <c r="W59" s="9">
        <f t="shared" si="33"/>
        <v>15.832544459999994</v>
      </c>
      <c r="X59" s="9">
        <f t="shared" si="33"/>
        <v>9.330038100000003</v>
      </c>
      <c r="Y59" s="9">
        <f t="shared" ref="Y59:AE59" si="34">Y52+Y45</f>
        <v>11.899931729999992</v>
      </c>
      <c r="Z59" s="9">
        <f t="shared" si="34"/>
        <v>14.477391430000004</v>
      </c>
      <c r="AA59" s="9">
        <f t="shared" si="34"/>
        <v>9.8756328899999986</v>
      </c>
      <c r="AB59" s="9">
        <f t="shared" si="34"/>
        <v>9.6033398699999992</v>
      </c>
      <c r="AC59" s="9">
        <f t="shared" si="34"/>
        <v>18.467392519999997</v>
      </c>
      <c r="AD59" s="9">
        <f t="shared" si="34"/>
        <v>20.729749330000001</v>
      </c>
      <c r="AE59" s="9">
        <f t="shared" si="34"/>
        <v>17.927874249999995</v>
      </c>
      <c r="AF59" s="9">
        <f t="shared" ref="AF59:AQ59" si="35">AF52+AF45</f>
        <v>21.937408249999997</v>
      </c>
      <c r="AG59" s="9">
        <f t="shared" si="35"/>
        <v>22.633413700000006</v>
      </c>
      <c r="AH59" s="9">
        <f t="shared" si="35"/>
        <v>14.967796610000001</v>
      </c>
      <c r="AI59" s="9">
        <f t="shared" si="35"/>
        <v>18.704558840000001</v>
      </c>
      <c r="AJ59" s="9">
        <f t="shared" si="35"/>
        <v>18.536157810000006</v>
      </c>
      <c r="AK59" s="9">
        <f t="shared" si="35"/>
        <v>20.526024529999994</v>
      </c>
      <c r="AL59" s="9">
        <f t="shared" si="35"/>
        <v>17.786418930000007</v>
      </c>
      <c r="AM59" s="9">
        <f t="shared" si="35"/>
        <v>23.169360609999998</v>
      </c>
      <c r="AN59" s="9">
        <f t="shared" si="35"/>
        <v>21.870470129999973</v>
      </c>
      <c r="AO59" s="9">
        <f t="shared" si="35"/>
        <v>29.414631719999992</v>
      </c>
      <c r="AP59" s="9">
        <f t="shared" ref="AP59:AS59" si="36">AP52+AP45</f>
        <v>25.138693729999996</v>
      </c>
      <c r="AQ59" s="9">
        <f t="shared" si="35"/>
        <v>28.58</v>
      </c>
      <c r="AR59" s="9">
        <f t="shared" si="36"/>
        <v>39.107071750000046</v>
      </c>
      <c r="AS59" s="9">
        <f t="shared" si="36"/>
        <v>29.606268990000011</v>
      </c>
      <c r="AT59" s="9">
        <v>4.3409265100000027</v>
      </c>
      <c r="AU59" s="9">
        <v>53.90371310999997</v>
      </c>
      <c r="AV59" s="9">
        <v>29.056446869999988</v>
      </c>
    </row>
    <row r="60" spans="1:48" ht="4.5" customHeight="1">
      <c r="A60" s="1">
        <v>19</v>
      </c>
      <c r="C60" s="32"/>
      <c r="D60" s="32"/>
      <c r="E60" s="32"/>
      <c r="G60" s="57">
        <f t="shared" si="19"/>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row>
    <row r="61" spans="1:48">
      <c r="A61" s="1">
        <v>20</v>
      </c>
      <c r="B61" s="5" t="s">
        <v>117</v>
      </c>
      <c r="C61" s="43">
        <f>HLOOKUP($C$42,$H$42:$BE$67,$G61,FALSE)</f>
        <v>-2.7767341100000014</v>
      </c>
      <c r="D61" s="43">
        <f>HLOOKUP($D$42,$H$42:$BE$67,$G61,FALSE)</f>
        <v>-2.3906201699999965</v>
      </c>
      <c r="E61" s="35">
        <f>D61/C61-1</f>
        <v>-0.13905326354780312</v>
      </c>
      <c r="F61" s="52"/>
      <c r="G61" s="57">
        <f t="shared" si="19"/>
        <v>20</v>
      </c>
      <c r="H61" s="5" t="s">
        <v>117</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row>
    <row r="62" spans="1:48">
      <c r="A62" s="1">
        <v>21</v>
      </c>
      <c r="B62" s="5" t="s">
        <v>145</v>
      </c>
      <c r="C62" s="43">
        <f>HLOOKUP($C$42,$H$42:$BE$67,$G62,FALSE)</f>
        <v>-2.58</v>
      </c>
      <c r="D62" s="43">
        <f>HLOOKUP($D$42,$H$42:$BE$67,$G62,FALSE)</f>
        <v>-2.5828295200000042</v>
      </c>
      <c r="E62" s="48">
        <f>D62/C62-1</f>
        <v>1.0967131782961825E-3</v>
      </c>
      <c r="G62" s="57">
        <f t="shared" si="19"/>
        <v>21</v>
      </c>
      <c r="H62" s="5" t="s">
        <v>145</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-2.5828295200000042</v>
      </c>
    </row>
    <row r="63" spans="1:48">
      <c r="A63" s="1">
        <v>22</v>
      </c>
      <c r="B63" s="5" t="s">
        <v>119</v>
      </c>
      <c r="C63" s="43">
        <f>HLOOKUP($C$42,$H$42:$BE$67,$G63,FALSE)</f>
        <v>-9.1460913999999978</v>
      </c>
      <c r="D63" s="43">
        <f>HLOOKUP($D$42,$H$42:$BE$67,$G63,FALSE)</f>
        <v>-9.9244432700000136</v>
      </c>
      <c r="E63" s="35">
        <f t="shared" ref="E63" si="37">D63/C63-1</f>
        <v>8.5102131168295125E-2</v>
      </c>
      <c r="G63" s="57">
        <f t="shared" si="19"/>
        <v>22</v>
      </c>
      <c r="H63" s="5" t="s">
        <v>119</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row>
    <row r="64" spans="1:48" ht="4.5" customHeight="1">
      <c r="A64" s="1">
        <v>23</v>
      </c>
      <c r="C64" s="32"/>
      <c r="D64" s="32"/>
      <c r="E64" s="32"/>
      <c r="G64" s="57">
        <f t="shared" si="19"/>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row>
    <row r="65" spans="1:48">
      <c r="A65" s="1">
        <v>24</v>
      </c>
      <c r="B65" s="2" t="s">
        <v>146</v>
      </c>
      <c r="C65" s="9">
        <f>HLOOKUP($C$42,$H$42:$BE$67,$G65,FALSE)</f>
        <v>24.604246240000052</v>
      </c>
      <c r="D65" s="9">
        <f>HLOOKUP($D$42,$H$42:$BE$67,$G65,FALSE)</f>
        <v>14.158553909999995</v>
      </c>
      <c r="E65" s="93" t="s">
        <v>101</v>
      </c>
      <c r="G65" s="57">
        <f t="shared" si="19"/>
        <v>24</v>
      </c>
      <c r="H65" s="2" t="s">
        <v>146</v>
      </c>
      <c r="I65" s="31"/>
      <c r="J65" s="31"/>
      <c r="K65" s="31"/>
      <c r="L65" s="31"/>
      <c r="M65" s="31"/>
      <c r="N65" s="31"/>
      <c r="O65" s="31"/>
      <c r="P65" s="31"/>
      <c r="Q65" s="9">
        <f t="shared" ref="Q65:W65" si="38">Q59+Q61+Q62+Q63</f>
        <v>8.7377634799999964</v>
      </c>
      <c r="R65" s="9">
        <f t="shared" si="38"/>
        <v>1.1725179499999996</v>
      </c>
      <c r="S65" s="9">
        <f t="shared" si="38"/>
        <v>8.1401808200000048</v>
      </c>
      <c r="T65" s="9">
        <f t="shared" si="38"/>
        <v>6.1001780300000057</v>
      </c>
      <c r="U65" s="9">
        <f t="shared" si="38"/>
        <v>3.3782531900000041</v>
      </c>
      <c r="V65" s="9">
        <f t="shared" si="38"/>
        <v>2.8786115799999976</v>
      </c>
      <c r="W65" s="9">
        <f t="shared" si="38"/>
        <v>5.6475608499999979</v>
      </c>
      <c r="X65" s="9">
        <f t="shared" ref="X65:Y65" si="39">X59+X61+X62+X63</f>
        <v>9.4493584200000047</v>
      </c>
      <c r="Y65" s="9">
        <f t="shared" si="39"/>
        <v>1.7713522899999905</v>
      </c>
      <c r="Z65" s="9">
        <f t="shared" ref="Z65" si="40">Z59+Z61+Z62+Z63</f>
        <v>4.0760105300000049</v>
      </c>
      <c r="AA65" s="9">
        <f t="shared" ref="AA65:AS65" si="41">AA59+AA61+AA62+AA63</f>
        <v>-0.92079302000000141</v>
      </c>
      <c r="AB65" s="9">
        <f t="shared" si="41"/>
        <v>-1.8631484000000018</v>
      </c>
      <c r="AC65" s="9">
        <f t="shared" si="41"/>
        <v>5.6155939799999963</v>
      </c>
      <c r="AD65" s="9">
        <f t="shared" si="41"/>
        <v>7.0552956300000034</v>
      </c>
      <c r="AE65" s="9">
        <f t="shared" si="41"/>
        <v>4.227241109999996</v>
      </c>
      <c r="AF65" s="9">
        <f t="shared" si="41"/>
        <v>7.0976440099999962</v>
      </c>
      <c r="AG65" s="9">
        <f t="shared" si="41"/>
        <v>8.3818997100000061</v>
      </c>
      <c r="AH65" s="9">
        <f t="shared" si="41"/>
        <v>2.04820855</v>
      </c>
      <c r="AI65" s="9">
        <f>AI59+AI61+AI62+AI63</f>
        <v>3.4733969800000004</v>
      </c>
      <c r="AJ65" s="9">
        <f t="shared" si="41"/>
        <v>4.5812744300000059</v>
      </c>
      <c r="AK65" s="9">
        <f t="shared" si="41"/>
        <v>7.9861129199999947</v>
      </c>
      <c r="AL65" s="9">
        <f t="shared" si="41"/>
        <v>5.6704993599999991</v>
      </c>
      <c r="AM65" s="9">
        <f t="shared" si="41"/>
        <v>11.082462880000001</v>
      </c>
      <c r="AN65" s="9">
        <f t="shared" si="41"/>
        <v>9.3444469499999787</v>
      </c>
      <c r="AO65" s="9">
        <f t="shared" si="41"/>
        <v>16.076514029999991</v>
      </c>
      <c r="AP65" s="9">
        <f t="shared" si="41"/>
        <v>12.8667201</v>
      </c>
      <c r="AQ65" s="9">
        <f t="shared" si="41"/>
        <v>15.859999999999998</v>
      </c>
      <c r="AR65" s="9">
        <f t="shared" si="41"/>
        <v>24.604246240000052</v>
      </c>
      <c r="AS65" s="9">
        <f t="shared" si="41"/>
        <v>16.042851060000011</v>
      </c>
      <c r="AT65" s="9">
        <v>-8.3400907399999991</v>
      </c>
      <c r="AU65" s="9">
        <v>40.621481979999977</v>
      </c>
      <c r="AV65" s="9">
        <v>14.158553909999995</v>
      </c>
    </row>
    <row r="66" spans="1:48" ht="4.5" customHeight="1">
      <c r="A66" s="1">
        <v>25</v>
      </c>
      <c r="B66" s="40"/>
      <c r="C66" s="41">
        <f>HLOOKUP($C$42,$H$42:$BE$67,$G66,FALSE)</f>
        <v>0</v>
      </c>
      <c r="D66" s="41">
        <f>HLOOKUP($D$42,$H$42:$BE$67,$G66,FALSE)</f>
        <v>0</v>
      </c>
      <c r="E66" s="41"/>
      <c r="G66" s="57">
        <f t="shared" si="19"/>
        <v>25</v>
      </c>
      <c r="H66" s="40"/>
      <c r="I66" s="44"/>
      <c r="J66" s="44"/>
      <c r="K66" s="44"/>
      <c r="L66" s="44"/>
      <c r="M66" s="44"/>
      <c r="N66" s="44"/>
      <c r="O66" s="44"/>
      <c r="P66" s="44"/>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row>
    <row r="67" spans="1:48">
      <c r="A67" s="1">
        <v>26</v>
      </c>
      <c r="B67" s="2" t="s">
        <v>121</v>
      </c>
      <c r="C67" s="9">
        <f>HLOOKUP($C$42,$H$42:$BE$67,$G67,FALSE)</f>
        <v>33.750337640000048</v>
      </c>
      <c r="D67" s="9">
        <f>HLOOKUP($D$42,$H$42:$BE$67,$G67,FALSE)</f>
        <v>24.082997180000007</v>
      </c>
      <c r="E67" s="37">
        <f>D67/C67-1</f>
        <v>-0.28643685177663392</v>
      </c>
      <c r="G67" s="57">
        <f t="shared" si="19"/>
        <v>26</v>
      </c>
      <c r="H67" s="2" t="s">
        <v>121</v>
      </c>
      <c r="I67" s="31"/>
      <c r="J67" s="31"/>
      <c r="K67" s="31"/>
      <c r="L67" s="31"/>
      <c r="M67" s="31"/>
      <c r="N67" s="31"/>
      <c r="O67" s="31"/>
      <c r="P67" s="31"/>
      <c r="Q67" s="9">
        <f t="shared" ref="Q67:W67" si="42">Q65-Q63</f>
        <v>16.722630229999996</v>
      </c>
      <c r="R67" s="9">
        <f t="shared" si="42"/>
        <v>9.1214044699999999</v>
      </c>
      <c r="S67" s="9">
        <f>S65-S63</f>
        <v>16.092304820000006</v>
      </c>
      <c r="T67" s="9">
        <f>T65-T63</f>
        <v>14.102576740000007</v>
      </c>
      <c r="U67" s="9">
        <f>U65-U63</f>
        <v>11.413736150000004</v>
      </c>
      <c r="V67" s="9">
        <f>V65-V63</f>
        <v>10.911691419999997</v>
      </c>
      <c r="W67" s="9">
        <f t="shared" si="42"/>
        <v>13.469644769999995</v>
      </c>
      <c r="X67" s="9">
        <f t="shared" ref="X67:Y67" si="43">X65-X63</f>
        <v>17.790658310000005</v>
      </c>
      <c r="Y67" s="9">
        <f t="shared" si="43"/>
        <v>9.9220379099999914</v>
      </c>
      <c r="Z67" s="9">
        <f t="shared" ref="Z67" si="44">Z65-Z63</f>
        <v>12.321331760000003</v>
      </c>
      <c r="AA67" s="9">
        <f t="shared" ref="AA67:AG67" si="45">AA65-AA63</f>
        <v>7.3580409999999983</v>
      </c>
      <c r="AB67" s="9">
        <f t="shared" si="45"/>
        <v>6.7242893699999993</v>
      </c>
      <c r="AC67" s="9">
        <f t="shared" si="45"/>
        <v>16.477185669999997</v>
      </c>
      <c r="AD67" s="9">
        <f t="shared" si="45"/>
        <v>18.472225720000001</v>
      </c>
      <c r="AE67" s="9">
        <f t="shared" si="45"/>
        <v>15.989242209999997</v>
      </c>
      <c r="AF67" s="9">
        <f t="shared" si="45"/>
        <v>18.991432969999998</v>
      </c>
      <c r="AG67" s="9">
        <f t="shared" si="45"/>
        <v>19.581899710000005</v>
      </c>
      <c r="AH67" s="9">
        <v>13.52670906</v>
      </c>
      <c r="AI67" s="9">
        <v>15.656362469999999</v>
      </c>
      <c r="AJ67" s="9">
        <f t="shared" ref="AJ67:AS67" si="46">AJ65-AJ63</f>
        <v>16.272895390000006</v>
      </c>
      <c r="AK67" s="9">
        <f t="shared" si="46"/>
        <v>16.934051869999994</v>
      </c>
      <c r="AL67" s="9">
        <f t="shared" si="46"/>
        <v>14.455169850000001</v>
      </c>
      <c r="AM67" s="9">
        <f t="shared" si="46"/>
        <v>19.862733290000001</v>
      </c>
      <c r="AN67" s="9">
        <f t="shared" si="46"/>
        <v>18.279215909999984</v>
      </c>
      <c r="AO67" s="9">
        <f t="shared" si="46"/>
        <v>24.898559639999995</v>
      </c>
      <c r="AP67" s="9">
        <f t="shared" si="46"/>
        <v>21.749549699999996</v>
      </c>
      <c r="AQ67" s="9">
        <f t="shared" ref="AQ67" si="47">+AQ65-AQ63</f>
        <v>24.74</v>
      </c>
      <c r="AR67" s="9">
        <f t="shared" si="46"/>
        <v>33.750337640000048</v>
      </c>
      <c r="AS67" s="9">
        <f t="shared" si="46"/>
        <v>25.005951160000009</v>
      </c>
      <c r="AT67" s="9">
        <v>0.18746012000000079</v>
      </c>
      <c r="AU67" s="9">
        <v>48.856589139999969</v>
      </c>
      <c r="AV67" s="9">
        <f>AV65-AV63</f>
        <v>24.082997180000007</v>
      </c>
    </row>
    <row r="68" spans="1:48">
      <c r="W68" s="51"/>
    </row>
    <row r="69" spans="1:48">
      <c r="W69" s="51"/>
      <c r="AJ69" s="51"/>
      <c r="AK69" s="51"/>
      <c r="AL69" s="51"/>
      <c r="AM69" s="51"/>
      <c r="AN69" s="51"/>
      <c r="AO69" s="51"/>
    </row>
    <row r="70" spans="1:48" ht="92.25" customHeight="1">
      <c r="B70" s="109" t="s">
        <v>151</v>
      </c>
      <c r="C70" s="109"/>
      <c r="D70" s="109"/>
      <c r="E70" s="109"/>
      <c r="W70" s="51"/>
    </row>
    <row r="71" spans="1:48">
      <c r="AG71" s="51"/>
      <c r="AH71" s="51"/>
      <c r="AI71" s="51"/>
      <c r="AJ71" s="53"/>
      <c r="AK71" s="51"/>
      <c r="AL71" s="51"/>
      <c r="AM71" s="51"/>
      <c r="AN71" s="51"/>
      <c r="AO71" s="51"/>
    </row>
    <row r="72" spans="1:48" ht="226.5" customHeight="1">
      <c r="B72" s="109"/>
      <c r="C72" s="109"/>
      <c r="D72" s="109"/>
      <c r="E72" s="109"/>
      <c r="W72" s="51"/>
    </row>
    <row r="73" spans="1:48">
      <c r="W73" s="52"/>
    </row>
  </sheetData>
  <mergeCells count="77">
    <mergeCell ref="AV7:AV8"/>
    <mergeCell ref="AV42:AV43"/>
    <mergeCell ref="AU7:AU8"/>
    <mergeCell ref="AU42:AU43"/>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AK7:AK8"/>
    <mergeCell ref="E7:E8"/>
    <mergeCell ref="V7:V8"/>
    <mergeCell ref="Y7:Y8"/>
    <mergeCell ref="W7:W8"/>
    <mergeCell ref="AA7:AA8"/>
    <mergeCell ref="AK42:AK43"/>
    <mergeCell ref="AF42:AF43"/>
    <mergeCell ref="AF7:AF8"/>
    <mergeCell ref="AI7:AI8"/>
    <mergeCell ref="AI42:AI43"/>
    <mergeCell ref="AJ7:AJ8"/>
    <mergeCell ref="AG7:AG8"/>
    <mergeCell ref="AG42:AG43"/>
    <mergeCell ref="AH7:AH8"/>
    <mergeCell ref="U42:U43"/>
    <mergeCell ref="U7:U8"/>
    <mergeCell ref="S42:S43"/>
    <mergeCell ref="T42:T43"/>
    <mergeCell ref="N42:N43"/>
    <mergeCell ref="O42:O43"/>
    <mergeCell ref="P42:P43"/>
    <mergeCell ref="B35:AN37"/>
    <mergeCell ref="AM42:AM43"/>
    <mergeCell ref="AM7:AM8"/>
    <mergeCell ref="AN7:AN8"/>
    <mergeCell ref="AN42:AN43"/>
    <mergeCell ref="V42:V43"/>
    <mergeCell ref="AE7:AE8"/>
    <mergeCell ref="AE42:AE43"/>
    <mergeCell ref="AH42:AH43"/>
    <mergeCell ref="B72:E72"/>
    <mergeCell ref="C42:C43"/>
    <mergeCell ref="D42:D43"/>
    <mergeCell ref="B70:E70"/>
    <mergeCell ref="J42:J43"/>
    <mergeCell ref="I42:I43"/>
    <mergeCell ref="E42:E43"/>
    <mergeCell ref="M42:M43"/>
    <mergeCell ref="K42:K43"/>
    <mergeCell ref="L42:L43"/>
    <mergeCell ref="Q42:Q43"/>
    <mergeCell ref="R42:R43"/>
    <mergeCell ref="AL7:AL8"/>
    <mergeCell ref="AL42:AL43"/>
    <mergeCell ref="AP7:AP8"/>
    <mergeCell ref="AP42:AP43"/>
    <mergeCell ref="AR7:AR8"/>
    <mergeCell ref="AR42:AR43"/>
    <mergeCell ref="AO7:AO8"/>
    <mergeCell ref="AO42:AO43"/>
    <mergeCell ref="AT42:AT43"/>
    <mergeCell ref="AS7:AS8"/>
    <mergeCell ref="AS42:AS43"/>
    <mergeCell ref="AQ7:AQ8"/>
    <mergeCell ref="AQ42:AQ43"/>
    <mergeCell ref="AT7:AT8"/>
  </mergeCells>
  <phoneticPr fontId="14" type="noConversion"/>
  <pageMargins left="0.7" right="0.7" top="0.75" bottom="0.75" header="0.3" footer="0.3"/>
  <pageSetup orientation="portrait" r:id="rId1"/>
  <ignoredErrors>
    <ignoredError sqref="AB10 AB52" formula="1"/>
    <ignoredError sqref="E46 E55:E56 E53 E49 E66:E67 E51 E58: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4:AL49"/>
  <sheetViews>
    <sheetView topLeftCell="B1" zoomScale="70" zoomScaleNormal="70" workbookViewId="0">
      <selection activeCell="F37" sqref="F37"/>
    </sheetView>
  </sheetViews>
  <sheetFormatPr defaultColWidth="11.453125" defaultRowHeight="13.5"/>
  <cols>
    <col min="1" max="1" width="0" style="1" hidden="1" customWidth="1"/>
    <col min="2" max="2" width="51" style="1" customWidth="1"/>
    <col min="3" max="6" width="11.453125" style="1"/>
    <col min="7" max="7" width="11.453125" style="57"/>
    <col min="8" max="8" width="38.7265625" style="1" customWidth="1"/>
    <col min="9" max="28" width="11.453125" style="1" hidden="1" customWidth="1"/>
    <col min="29" max="31" width="0" style="1" hidden="1" customWidth="1"/>
    <col min="32" max="16384" width="11.453125" style="1"/>
  </cols>
  <sheetData>
    <row r="4" spans="1:38"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row>
    <row r="5" spans="1:38" ht="7.5" customHeight="1"/>
    <row r="6" spans="1:38" ht="15.75" customHeight="1">
      <c r="A6" s="1">
        <v>1</v>
      </c>
      <c r="B6" s="3" t="s">
        <v>152</v>
      </c>
      <c r="C6" s="108" t="s">
        <v>43</v>
      </c>
      <c r="D6" s="108" t="s">
        <v>44</v>
      </c>
      <c r="E6" s="108" t="s">
        <v>45</v>
      </c>
      <c r="G6" s="57">
        <v>1</v>
      </c>
      <c r="H6" s="3" t="s">
        <v>152</v>
      </c>
      <c r="I6" s="108" t="s">
        <v>59</v>
      </c>
      <c r="J6" s="108" t="s">
        <v>60</v>
      </c>
      <c r="K6" s="108" t="s">
        <v>61</v>
      </c>
      <c r="L6" s="108" t="s">
        <v>62</v>
      </c>
      <c r="M6" s="108" t="s">
        <v>63</v>
      </c>
      <c r="N6" s="108" t="s">
        <v>64</v>
      </c>
      <c r="O6" s="108" t="s">
        <v>65</v>
      </c>
      <c r="P6" s="108" t="s">
        <v>66</v>
      </c>
      <c r="Q6" s="108" t="s">
        <v>67</v>
      </c>
      <c r="R6" s="108" t="s">
        <v>68</v>
      </c>
      <c r="S6" s="108" t="s">
        <v>69</v>
      </c>
      <c r="T6" s="108" t="s">
        <v>70</v>
      </c>
      <c r="U6" s="108" t="s">
        <v>71</v>
      </c>
      <c r="V6" s="108" t="s">
        <v>72</v>
      </c>
      <c r="W6" s="108" t="s">
        <v>73</v>
      </c>
      <c r="X6" s="108" t="s">
        <v>74</v>
      </c>
      <c r="Y6" s="108" t="s">
        <v>75</v>
      </c>
      <c r="Z6" s="108" t="s">
        <v>76</v>
      </c>
      <c r="AA6" s="108" t="s">
        <v>77</v>
      </c>
      <c r="AB6" s="108" t="s">
        <v>78</v>
      </c>
      <c r="AC6" s="108" t="s">
        <v>79</v>
      </c>
      <c r="AD6" s="108" t="s">
        <v>80</v>
      </c>
      <c r="AE6" s="108" t="s">
        <v>81</v>
      </c>
      <c r="AF6" s="108" t="s">
        <v>43</v>
      </c>
      <c r="AG6" s="108" t="s">
        <v>82</v>
      </c>
      <c r="AH6" s="108" t="s">
        <v>83</v>
      </c>
      <c r="AI6" s="108" t="s">
        <v>84</v>
      </c>
      <c r="AJ6" s="108" t="s">
        <v>44</v>
      </c>
    </row>
    <row r="7" spans="1:38">
      <c r="A7" s="1">
        <v>2</v>
      </c>
      <c r="B7" s="3" t="s">
        <v>105</v>
      </c>
      <c r="C7" s="108"/>
      <c r="D7" s="108"/>
      <c r="E7" s="108"/>
      <c r="G7" s="57">
        <f>G6+1</f>
        <v>2</v>
      </c>
      <c r="H7" s="3" t="s">
        <v>105</v>
      </c>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row>
    <row r="8" spans="1:38" ht="4.5" customHeight="1">
      <c r="A8" s="1">
        <v>3</v>
      </c>
      <c r="G8" s="57">
        <f t="shared" ref="G8:G18" si="0">G7+1</f>
        <v>3</v>
      </c>
    </row>
    <row r="9" spans="1:38">
      <c r="A9" s="1">
        <v>4</v>
      </c>
      <c r="B9" s="27" t="s">
        <v>153</v>
      </c>
      <c r="C9" s="13">
        <f t="shared" ref="C9:C18" si="1">HLOOKUP($C$6,$H$6:$BK$18,$G9,FALSE)</f>
        <v>1585.2480199534943</v>
      </c>
      <c r="D9" s="13">
        <f t="shared" ref="D9:D18" si="2">HLOOKUP($D$6,$H$6:$BK$18,$G9,FALSE)</f>
        <v>1334.4235706552499</v>
      </c>
      <c r="E9" s="35">
        <f>D9/C9-1</f>
        <v>-0.15822410508710349</v>
      </c>
      <c r="G9" s="57">
        <f t="shared" si="0"/>
        <v>4</v>
      </c>
      <c r="H9" s="5" t="s">
        <v>153</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13">
        <f>1602.57686574061-AG28</f>
        <v>1520.9973978014436</v>
      </c>
      <c r="AH9" s="13">
        <f>1487.64968383918-AH28</f>
        <v>1412.1633893192181</v>
      </c>
      <c r="AI9" s="13">
        <f>1653.70245341163-AI28</f>
        <v>1541.5597900816299</v>
      </c>
      <c r="AJ9" s="13">
        <f>1426.23105087525-AJ28</f>
        <v>1334.4235706552499</v>
      </c>
      <c r="AK9" s="47"/>
      <c r="AL9" s="47"/>
    </row>
    <row r="10" spans="1:38">
      <c r="A10" s="1">
        <v>5</v>
      </c>
      <c r="B10" s="27" t="s">
        <v>154</v>
      </c>
      <c r="C10" s="13">
        <f t="shared" si="1"/>
        <v>4253.4738190958487</v>
      </c>
      <c r="D10" s="13">
        <f t="shared" si="2"/>
        <v>4641.8056893799994</v>
      </c>
      <c r="E10" s="35">
        <f>D10/C10-1</f>
        <v>9.1297580942133916E-2</v>
      </c>
      <c r="G10" s="57">
        <f t="shared" si="0"/>
        <v>5</v>
      </c>
      <c r="H10" s="27" t="s">
        <v>154</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13">
        <f>5013.79241971-AG29</f>
        <v>4399.4549288422841</v>
      </c>
      <c r="AH10" s="13">
        <f>5111.54323107-AH29</f>
        <v>4495.3399611761906</v>
      </c>
      <c r="AI10" s="13">
        <f>5074.41705531-AI29</f>
        <v>4473.6280143700005</v>
      </c>
      <c r="AJ10" s="13">
        <f>5234.46087104-AJ29</f>
        <v>4641.8056893799994</v>
      </c>
      <c r="AK10" s="47"/>
      <c r="AL10" s="47"/>
    </row>
    <row r="11" spans="1:38" ht="5.25" customHeight="1">
      <c r="A11" s="1">
        <v>6</v>
      </c>
      <c r="C11" s="39"/>
      <c r="D11" s="39"/>
      <c r="E11" s="39"/>
      <c r="G11" s="57">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47"/>
      <c r="AL11" s="47"/>
    </row>
    <row r="12" spans="1:38">
      <c r="A12" s="1">
        <v>7</v>
      </c>
      <c r="B12" s="6" t="s">
        <v>155</v>
      </c>
      <c r="C12" s="9">
        <f t="shared" si="1"/>
        <v>5838.7218390493435</v>
      </c>
      <c r="D12" s="9">
        <f t="shared" si="2"/>
        <v>5976.2292600352494</v>
      </c>
      <c r="E12" s="37">
        <f>D12/C12-1</f>
        <v>2.3550945699494896E-2</v>
      </c>
      <c r="G12" s="57">
        <f t="shared" si="0"/>
        <v>7</v>
      </c>
      <c r="H12" s="6" t="s">
        <v>155</v>
      </c>
      <c r="I12" s="9">
        <f>I10+I9</f>
        <v>5963.9159862500001</v>
      </c>
      <c r="J12" s="9">
        <f>J10+J9</f>
        <v>5996.1005711000016</v>
      </c>
      <c r="K12" s="9">
        <f t="shared" ref="K12:M12" si="3">K10+K9</f>
        <v>6050.0419892099999</v>
      </c>
      <c r="L12" s="9">
        <f t="shared" si="3"/>
        <v>6075.8403642699996</v>
      </c>
      <c r="M12" s="9">
        <f t="shared" si="3"/>
        <v>6156.2008316400006</v>
      </c>
      <c r="N12" s="9">
        <f t="shared" ref="N12:O12" si="4">N10+N9</f>
        <v>5910.4028212399999</v>
      </c>
      <c r="O12" s="9">
        <f t="shared" si="4"/>
        <v>6005.1448391099993</v>
      </c>
      <c r="P12" s="9">
        <f t="shared" ref="P12:AA12" si="5">P10+P9</f>
        <v>5994.3771225499995</v>
      </c>
      <c r="Q12" s="9">
        <f t="shared" si="5"/>
        <v>6049.3754122400005</v>
      </c>
      <c r="R12" s="9">
        <f t="shared" si="5"/>
        <v>5818.4899142899985</v>
      </c>
      <c r="S12" s="9">
        <f t="shared" si="5"/>
        <v>5873.0599255899997</v>
      </c>
      <c r="T12" s="9">
        <f t="shared" si="5"/>
        <v>5784.102609890002</v>
      </c>
      <c r="U12" s="9">
        <f t="shared" si="5"/>
        <v>5931.1428321599997</v>
      </c>
      <c r="V12" s="9">
        <f t="shared" si="5"/>
        <v>5769.7528770700001</v>
      </c>
      <c r="W12" s="9">
        <f t="shared" si="5"/>
        <v>5843.1204401699997</v>
      </c>
      <c r="X12" s="9">
        <f t="shared" si="5"/>
        <v>5876.7648621285007</v>
      </c>
      <c r="Y12" s="9">
        <f t="shared" si="5"/>
        <v>5959.7229402060502</v>
      </c>
      <c r="Z12" s="9">
        <f t="shared" si="5"/>
        <v>5731.73446800478</v>
      </c>
      <c r="AA12" s="9">
        <f t="shared" si="5"/>
        <v>6438.5469456948613</v>
      </c>
      <c r="AB12" s="9">
        <f>AB10+AB9</f>
        <v>5897.8133169832199</v>
      </c>
      <c r="AC12" s="9">
        <f>AC10+AC9</f>
        <v>5639.3499999999995</v>
      </c>
      <c r="AD12" s="9">
        <f>AD10+AD9</f>
        <v>5672.7526443779834</v>
      </c>
      <c r="AE12" s="9">
        <f>AE10+AE9</f>
        <v>5718.6463263498235</v>
      </c>
      <c r="AF12" s="9">
        <f>AF10+AF9</f>
        <v>5838.7218390493435</v>
      </c>
      <c r="AG12" s="9">
        <f>+AG9+AG10</f>
        <v>5920.4523266437282</v>
      </c>
      <c r="AH12" s="9">
        <f>+AH9+AH10</f>
        <v>5907.503350495409</v>
      </c>
      <c r="AI12" s="9">
        <f>+AI9+AI10</f>
        <v>6015.1878044516307</v>
      </c>
      <c r="AJ12" s="9">
        <f>6660.69192191525-AJ31</f>
        <v>5976.2292600352494</v>
      </c>
      <c r="AK12" s="47"/>
      <c r="AL12" s="47"/>
    </row>
    <row r="13" spans="1:38" ht="5.25" customHeight="1">
      <c r="A13" s="1">
        <v>8</v>
      </c>
      <c r="G13" s="57">
        <f t="shared" si="0"/>
        <v>8</v>
      </c>
      <c r="AK13" s="47"/>
      <c r="AL13" s="47"/>
    </row>
    <row r="14" spans="1:38">
      <c r="A14" s="1">
        <v>9</v>
      </c>
      <c r="B14" s="5" t="s">
        <v>156</v>
      </c>
      <c r="C14" s="13">
        <f t="shared" si="1"/>
        <v>429.58461463510997</v>
      </c>
      <c r="D14" s="13">
        <f t="shared" si="2"/>
        <v>384.12393090095998</v>
      </c>
      <c r="E14" s="35">
        <f>D14/C14-1</f>
        <v>-0.10582474833919364</v>
      </c>
      <c r="G14" s="57">
        <f t="shared" si="0"/>
        <v>9</v>
      </c>
      <c r="H14" s="5" t="s">
        <v>156</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13">
        <f>462.20512787402-AG33</f>
        <v>367.09936456401999</v>
      </c>
      <c r="AH14" s="13">
        <f>396.62735860708-AH33</f>
        <v>297.17490132707997</v>
      </c>
      <c r="AI14" s="13">
        <f>415.76991396552-AI33</f>
        <v>297.09131362552</v>
      </c>
      <c r="AJ14" s="13">
        <f>470.80527333096-AJ33</f>
        <v>384.12393090095998</v>
      </c>
      <c r="AK14" s="47"/>
      <c r="AL14" s="47"/>
    </row>
    <row r="15" spans="1:38">
      <c r="A15" s="1">
        <v>10</v>
      </c>
      <c r="B15" s="5" t="s">
        <v>157</v>
      </c>
      <c r="C15" s="13">
        <f t="shared" si="1"/>
        <v>2779.2079943071003</v>
      </c>
      <c r="D15" s="13">
        <f t="shared" si="2"/>
        <v>2793.8976854276398</v>
      </c>
      <c r="E15" s="35">
        <f>D15/C15-1</f>
        <v>5.2855673812934878E-3</v>
      </c>
      <c r="G15" s="57">
        <f t="shared" si="0"/>
        <v>10</v>
      </c>
      <c r="H15" s="5" t="s">
        <v>157</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13">
        <f>3098.53024229-AG34</f>
        <v>2781.4902345400001</v>
      </c>
      <c r="AH15" s="13">
        <f>3095.15550304419-AH34</f>
        <v>2780.1934199341899</v>
      </c>
      <c r="AI15" s="13">
        <f>3079.06228918954-AI34</f>
        <v>2778.2397278195399</v>
      </c>
      <c r="AJ15" s="13">
        <f>3092.60975351764-AJ34</f>
        <v>2793.8976854276398</v>
      </c>
      <c r="AK15" s="47"/>
      <c r="AL15" s="47"/>
    </row>
    <row r="16" spans="1:38">
      <c r="A16" s="1">
        <v>11</v>
      </c>
      <c r="B16" s="5" t="s">
        <v>158</v>
      </c>
      <c r="C16" s="80">
        <f t="shared" si="1"/>
        <v>2677.7029788199998</v>
      </c>
      <c r="D16" s="80">
        <f t="shared" si="2"/>
        <v>2798.2076698600004</v>
      </c>
      <c r="E16" s="35">
        <f t="shared" ref="E16" si="6">D16/C16-1</f>
        <v>4.5003008919646481E-2</v>
      </c>
      <c r="G16" s="57">
        <f t="shared" si="0"/>
        <v>11</v>
      </c>
      <c r="H16" s="5" t="s">
        <v>158</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4">
        <v>2615.6499999999996</v>
      </c>
      <c r="AD16" s="94">
        <v>2611.7799999999997</v>
      </c>
      <c r="AE16" s="94">
        <v>2686.3448447800001</v>
      </c>
      <c r="AF16" s="94">
        <f>2952.87638449-AF35</f>
        <v>2677.7029788199998</v>
      </c>
      <c r="AG16" s="94">
        <f>3055.63422723-AG35</f>
        <v>2771.8630394812817</v>
      </c>
      <c r="AH16" s="94">
        <f>3107.4072812-AH35</f>
        <v>2830.1322571680316</v>
      </c>
      <c r="AI16" s="94">
        <f>3233.28783324-AI35</f>
        <v>2939.85729068</v>
      </c>
      <c r="AJ16" s="94">
        <f>3097.27692122-AJ35</f>
        <v>2798.2076698600004</v>
      </c>
      <c r="AK16" s="47"/>
      <c r="AL16" s="47"/>
    </row>
    <row r="17" spans="1:38" ht="4.5" customHeight="1">
      <c r="A17" s="1">
        <v>12</v>
      </c>
      <c r="E17" s="38"/>
      <c r="G17" s="57">
        <f t="shared" si="0"/>
        <v>12</v>
      </c>
      <c r="AK17" s="47"/>
      <c r="AL17" s="47"/>
    </row>
    <row r="18" spans="1:38">
      <c r="A18" s="1">
        <v>13</v>
      </c>
      <c r="B18" s="6" t="s">
        <v>159</v>
      </c>
      <c r="C18" s="9">
        <f t="shared" si="1"/>
        <v>5886.4955877622106</v>
      </c>
      <c r="D18" s="9">
        <f t="shared" si="2"/>
        <v>5976.2292861885999</v>
      </c>
      <c r="E18" s="37">
        <f>D18/C18-1</f>
        <v>1.5243993151535129E-2</v>
      </c>
      <c r="G18" s="57">
        <f t="shared" si="0"/>
        <v>13</v>
      </c>
      <c r="H18" s="6" t="s">
        <v>159</v>
      </c>
      <c r="I18" s="9">
        <f>SUM(I14:I16)</f>
        <v>5963.2306540000009</v>
      </c>
      <c r="J18" s="9">
        <f t="shared" ref="J18" si="7">SUM(J14:J16)</f>
        <v>5996.1005710999998</v>
      </c>
      <c r="K18" s="9">
        <f>SUM(K14:K16)</f>
        <v>6050.0419892099999</v>
      </c>
      <c r="L18" s="9">
        <f t="shared" ref="L18:N18" si="8">SUM(L14:L16)</f>
        <v>6075.8403642700005</v>
      </c>
      <c r="M18" s="9">
        <f t="shared" si="8"/>
        <v>6156.2008316399997</v>
      </c>
      <c r="N18" s="9">
        <f t="shared" si="8"/>
        <v>5910.4028212400008</v>
      </c>
      <c r="O18" s="9">
        <f t="shared" ref="O18:R18" si="9">SUM(O14:O16)</f>
        <v>6005.1448391100002</v>
      </c>
      <c r="P18" s="9">
        <f t="shared" si="9"/>
        <v>5994.3771225500004</v>
      </c>
      <c r="Q18" s="9">
        <f t="shared" si="9"/>
        <v>6049.3754122399996</v>
      </c>
      <c r="R18" s="9">
        <f t="shared" si="9"/>
        <v>5818.4996340400012</v>
      </c>
      <c r="S18" s="9">
        <f t="shared" ref="S18:Y18" si="10">SUM(S14:S16)</f>
        <v>5873.0599255899997</v>
      </c>
      <c r="T18" s="9">
        <f t="shared" si="10"/>
        <v>5784.1357809500005</v>
      </c>
      <c r="U18" s="9">
        <f t="shared" si="10"/>
        <v>5931.17600322</v>
      </c>
      <c r="V18" s="9">
        <f t="shared" si="10"/>
        <v>5769.7528770700001</v>
      </c>
      <c r="W18" s="9">
        <f t="shared" si="10"/>
        <v>5843.1204401699997</v>
      </c>
      <c r="X18" s="9">
        <f t="shared" si="10"/>
        <v>5876.7761575741733</v>
      </c>
      <c r="Y18" s="9">
        <f t="shared" si="10"/>
        <v>5959.6935400399998</v>
      </c>
      <c r="Z18" s="9">
        <f>SUM(Z14:Z16)</f>
        <v>5731.7145171299999</v>
      </c>
      <c r="AA18" s="9">
        <f>SUM(AA14:AA16)</f>
        <v>6438.5823065754594</v>
      </c>
      <c r="AB18" s="9">
        <f>SUM(AB14:AB16)</f>
        <v>5897.7884625999995</v>
      </c>
      <c r="AC18" s="9">
        <f>SUM(AC14:AC16)</f>
        <v>5639.44</v>
      </c>
      <c r="AD18" s="9">
        <f>SUM(AD14:AD16)</f>
        <v>5672.7599999999993</v>
      </c>
      <c r="AE18" s="9">
        <f>+AE14+AE15+AE16</f>
        <v>5718.6463493271103</v>
      </c>
      <c r="AF18" s="9">
        <f>+AF14+AF15+AF16</f>
        <v>5886.4955877622106</v>
      </c>
      <c r="AG18" s="9">
        <f>+AG14+AG15+AG16</f>
        <v>5920.4526385853023</v>
      </c>
      <c r="AH18" s="9">
        <f>+SUM(AH14:AH16)</f>
        <v>5907.5005784293016</v>
      </c>
      <c r="AI18" s="9">
        <f>SUM(AI14:AI16)</f>
        <v>6015.1883321250598</v>
      </c>
      <c r="AJ18" s="9">
        <f>6660.6919480686-AJ37</f>
        <v>5976.2292861885999</v>
      </c>
      <c r="AK18" s="47"/>
      <c r="AL18" s="47"/>
    </row>
    <row r="23" spans="1:38"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row>
    <row r="24" spans="1:38" ht="7.5" customHeight="1"/>
    <row r="25" spans="1:38">
      <c r="A25" s="1">
        <v>1</v>
      </c>
      <c r="B25" s="3" t="s">
        <v>152</v>
      </c>
      <c r="C25" s="108" t="str">
        <f>C6</f>
        <v>4Q22</v>
      </c>
      <c r="D25" s="108" t="str">
        <f>D6</f>
        <v>4Q23</v>
      </c>
      <c r="E25" s="108" t="s">
        <v>45</v>
      </c>
      <c r="G25" s="57">
        <v>1</v>
      </c>
      <c r="H25" s="3" t="s">
        <v>152</v>
      </c>
      <c r="I25" s="108" t="s">
        <v>59</v>
      </c>
      <c r="J25" s="108" t="s">
        <v>60</v>
      </c>
      <c r="K25" s="108" t="s">
        <v>61</v>
      </c>
      <c r="L25" s="108" t="s">
        <v>62</v>
      </c>
      <c r="M25" s="108" t="s">
        <v>63</v>
      </c>
      <c r="N25" s="108" t="s">
        <v>64</v>
      </c>
      <c r="O25" s="108" t="s">
        <v>65</v>
      </c>
      <c r="P25" s="108" t="s">
        <v>66</v>
      </c>
      <c r="Q25" s="108" t="s">
        <v>67</v>
      </c>
      <c r="R25" s="108" t="s">
        <v>68</v>
      </c>
      <c r="S25" s="108" t="s">
        <v>69</v>
      </c>
      <c r="T25" s="108" t="s">
        <v>70</v>
      </c>
      <c r="U25" s="108" t="s">
        <v>71</v>
      </c>
      <c r="V25" s="108" t="s">
        <v>72</v>
      </c>
      <c r="W25" s="108" t="s">
        <v>73</v>
      </c>
      <c r="X25" s="108" t="s">
        <v>74</v>
      </c>
      <c r="Y25" s="108" t="s">
        <v>75</v>
      </c>
      <c r="Z25" s="108" t="s">
        <v>76</v>
      </c>
      <c r="AA25" s="108" t="s">
        <v>77</v>
      </c>
      <c r="AB25" s="108" t="s">
        <v>78</v>
      </c>
      <c r="AC25" s="108" t="s">
        <v>79</v>
      </c>
      <c r="AD25" s="108" t="s">
        <v>80</v>
      </c>
      <c r="AE25" s="108" t="s">
        <v>81</v>
      </c>
      <c r="AF25" s="108" t="s">
        <v>43</v>
      </c>
      <c r="AG25" s="108" t="s">
        <v>82</v>
      </c>
      <c r="AH25" s="108" t="s">
        <v>83</v>
      </c>
      <c r="AI25" s="108" t="s">
        <v>84</v>
      </c>
      <c r="AJ25" s="108" t="s">
        <v>44</v>
      </c>
    </row>
    <row r="26" spans="1:38">
      <c r="A26" s="1">
        <v>2</v>
      </c>
      <c r="B26" s="3" t="s">
        <v>105</v>
      </c>
      <c r="C26" s="108"/>
      <c r="D26" s="108"/>
      <c r="E26" s="108"/>
      <c r="G26" s="57">
        <f>G25+1</f>
        <v>2</v>
      </c>
      <c r="H26" s="3" t="s">
        <v>105</v>
      </c>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row>
    <row r="27" spans="1:38" ht="4.5" customHeight="1">
      <c r="A27" s="1">
        <v>3</v>
      </c>
      <c r="G27" s="57">
        <f t="shared" ref="G27:G37" si="11">G26+1</f>
        <v>3</v>
      </c>
    </row>
    <row r="28" spans="1:38">
      <c r="A28" s="1">
        <v>4</v>
      </c>
      <c r="B28" s="5" t="s">
        <v>153</v>
      </c>
      <c r="C28" s="13">
        <f t="shared" ref="C28:C37" si="12">HLOOKUP($C$25,$H$25:$BE$37,$G28,FALSE)</f>
        <v>103.05198004650559</v>
      </c>
      <c r="D28" s="13">
        <f t="shared" ref="D28:D37" si="13">HLOOKUP($D$25,$H$25:$BE$37,$G28,FALSE)</f>
        <v>91.807480220000002</v>
      </c>
      <c r="E28" s="35">
        <f>D28/C28-1</f>
        <v>-0.10911483526499088</v>
      </c>
      <c r="G28" s="57">
        <f t="shared" si="11"/>
        <v>4</v>
      </c>
      <c r="H28" s="5" t="s">
        <v>153</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row>
    <row r="29" spans="1:38">
      <c r="A29" s="1">
        <v>5</v>
      </c>
      <c r="B29" s="5" t="s">
        <v>154</v>
      </c>
      <c r="C29" s="13">
        <f t="shared" si="12"/>
        <v>616.42618090415044</v>
      </c>
      <c r="D29" s="13">
        <f t="shared" si="13"/>
        <v>592.65518166000015</v>
      </c>
      <c r="E29" s="35">
        <f>D29/C29-1</f>
        <v>-3.8562604867437456E-2</v>
      </c>
      <c r="G29" s="57">
        <f t="shared" si="11"/>
        <v>5</v>
      </c>
      <c r="H29" s="5" t="s">
        <v>154</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row>
    <row r="30" spans="1:38" ht="4.5" customHeight="1">
      <c r="A30" s="1">
        <v>6</v>
      </c>
      <c r="E30" s="38"/>
      <c r="G30" s="57">
        <f t="shared" si="11"/>
        <v>6</v>
      </c>
    </row>
    <row r="31" spans="1:38">
      <c r="A31" s="1">
        <v>7</v>
      </c>
      <c r="B31" s="6" t="s">
        <v>155</v>
      </c>
      <c r="C31" s="9">
        <f t="shared" si="12"/>
        <v>719.47816095065605</v>
      </c>
      <c r="D31" s="9">
        <f t="shared" si="13"/>
        <v>684.46266188000016</v>
      </c>
      <c r="E31" s="37">
        <f>D31/C31-1</f>
        <v>-4.8667910954224736E-2</v>
      </c>
      <c r="G31" s="57">
        <f t="shared" si="11"/>
        <v>7</v>
      </c>
      <c r="H31" s="6" t="s">
        <v>155</v>
      </c>
      <c r="I31" s="9">
        <f>I29+I28</f>
        <v>833.93535231999988</v>
      </c>
      <c r="J31" s="9">
        <f t="shared" ref="J31:K31" si="14">J29+J28</f>
        <v>829.67564342999992</v>
      </c>
      <c r="K31" s="9">
        <f t="shared" si="14"/>
        <v>846.79471059000014</v>
      </c>
      <c r="L31" s="9">
        <f t="shared" ref="L31:N31" si="15">L29+L28</f>
        <v>846.70143558999996</v>
      </c>
      <c r="M31" s="9">
        <f t="shared" si="15"/>
        <v>829.91270053999995</v>
      </c>
      <c r="N31" s="9">
        <f t="shared" si="15"/>
        <v>828.01799592999998</v>
      </c>
      <c r="O31" s="9">
        <f t="shared" ref="O31" si="16">O29+O28</f>
        <v>814.4146763900003</v>
      </c>
      <c r="P31" s="9">
        <f t="shared" ref="P31:AA31" si="17">+P28+P29</f>
        <v>783.9715697800001</v>
      </c>
      <c r="Q31" s="9">
        <f t="shared" si="17"/>
        <v>801.09662344000003</v>
      </c>
      <c r="R31" s="9">
        <f t="shared" si="17"/>
        <v>929.57391276999988</v>
      </c>
      <c r="S31" s="9">
        <f t="shared" si="17"/>
        <v>907.04075907000004</v>
      </c>
      <c r="T31" s="9">
        <f t="shared" si="17"/>
        <v>921.2140707399999</v>
      </c>
      <c r="U31" s="9">
        <f t="shared" si="17"/>
        <v>930.31909736999989</v>
      </c>
      <c r="V31" s="9">
        <f t="shared" si="17"/>
        <v>932.9097297699999</v>
      </c>
      <c r="W31" s="9">
        <f t="shared" si="17"/>
        <v>888.51798156999985</v>
      </c>
      <c r="X31" s="9">
        <f t="shared" si="17"/>
        <v>757.11532938999972</v>
      </c>
      <c r="Y31" s="9">
        <f t="shared" si="17"/>
        <v>734.02186934999986</v>
      </c>
      <c r="Z31" s="9">
        <f t="shared" si="17"/>
        <v>736.04275189999998</v>
      </c>
      <c r="AA31" s="9">
        <f t="shared" si="17"/>
        <v>705.68918384709832</v>
      </c>
      <c r="AB31" s="9">
        <f t="shared" ref="AB31:AH31" si="18">+AB28+AB29</f>
        <v>704.69445911999946</v>
      </c>
      <c r="AC31" s="9">
        <f t="shared" si="18"/>
        <v>709.82864552994829</v>
      </c>
      <c r="AD31" s="9">
        <f t="shared" si="18"/>
        <v>712.07862698315648</v>
      </c>
      <c r="AE31" s="9">
        <f t="shared" si="18"/>
        <v>687.29623494984685</v>
      </c>
      <c r="AF31" s="9">
        <f t="shared" si="18"/>
        <v>719.47816095065605</v>
      </c>
      <c r="AG31" s="9">
        <f t="shared" si="18"/>
        <v>695.91695880688212</v>
      </c>
      <c r="AH31" s="9">
        <f t="shared" si="18"/>
        <v>691.68956441377111</v>
      </c>
      <c r="AI31" s="9">
        <v>712.93170427000018</v>
      </c>
      <c r="AJ31" s="9">
        <f>SUM(AJ28:AJ29)</f>
        <v>684.46266188000016</v>
      </c>
    </row>
    <row r="32" spans="1:38" ht="4.5" customHeight="1">
      <c r="A32" s="1">
        <v>8</v>
      </c>
      <c r="E32" s="38"/>
      <c r="G32" s="57">
        <f t="shared" si="11"/>
        <v>8</v>
      </c>
    </row>
    <row r="33" spans="1:36">
      <c r="A33" s="1">
        <v>9</v>
      </c>
      <c r="B33" s="5" t="s">
        <v>156</v>
      </c>
      <c r="C33" s="13">
        <f t="shared" si="12"/>
        <v>113.00115142</v>
      </c>
      <c r="D33" s="13">
        <f t="shared" si="13"/>
        <v>86.681342430000001</v>
      </c>
      <c r="E33" s="35">
        <f>D33/C33-1</f>
        <v>-0.23291629031438055</v>
      </c>
      <c r="G33" s="57">
        <f t="shared" si="11"/>
        <v>9</v>
      </c>
      <c r="H33" s="5" t="s">
        <v>156</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row>
    <row r="34" spans="1:36">
      <c r="A34" s="1">
        <v>10</v>
      </c>
      <c r="B34" s="5" t="s">
        <v>160</v>
      </c>
      <c r="C34" s="13">
        <f t="shared" si="12"/>
        <v>331.30360394999997</v>
      </c>
      <c r="D34" s="13">
        <f t="shared" si="13"/>
        <v>298.71206809</v>
      </c>
      <c r="E34" s="35">
        <f t="shared" ref="E34:E35" si="19">D34/C34-1</f>
        <v>-9.8373623079930805E-2</v>
      </c>
      <c r="G34" s="57">
        <f t="shared" si="11"/>
        <v>10</v>
      </c>
      <c r="H34" s="5" t="s">
        <v>160</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row>
    <row r="35" spans="1:36">
      <c r="A35" s="1">
        <v>11</v>
      </c>
      <c r="B35" s="5" t="s">
        <v>161</v>
      </c>
      <c r="C35" s="13">
        <f t="shared" si="12"/>
        <v>275.17340567000002</v>
      </c>
      <c r="D35" s="13">
        <f t="shared" si="13"/>
        <v>299.06925135999995</v>
      </c>
      <c r="E35" s="35">
        <f t="shared" si="19"/>
        <v>8.6839226457286589E-2</v>
      </c>
      <c r="G35" s="57">
        <f t="shared" si="11"/>
        <v>11</v>
      </c>
      <c r="H35" s="5" t="s">
        <v>161</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80">
        <v>277.27502403196837</v>
      </c>
      <c r="AI35" s="13">
        <v>293.43054256000005</v>
      </c>
      <c r="AJ35" s="13">
        <v>299.06925135999995</v>
      </c>
    </row>
    <row r="36" spans="1:36" ht="4.5" customHeight="1">
      <c r="A36" s="1">
        <v>12</v>
      </c>
      <c r="E36" s="38"/>
      <c r="G36" s="57">
        <f t="shared" si="11"/>
        <v>12</v>
      </c>
    </row>
    <row r="37" spans="1:36">
      <c r="A37" s="1">
        <v>13</v>
      </c>
      <c r="B37" s="6" t="s">
        <v>159</v>
      </c>
      <c r="C37" s="9">
        <f t="shared" si="12"/>
        <v>719.47816104000003</v>
      </c>
      <c r="D37" s="9">
        <f t="shared" si="13"/>
        <v>684.46266187999993</v>
      </c>
      <c r="E37" s="37">
        <f>D37/C37-1</f>
        <v>-4.8667911072360348E-2</v>
      </c>
      <c r="G37" s="57">
        <f t="shared" si="11"/>
        <v>13</v>
      </c>
      <c r="H37" s="6" t="s">
        <v>159</v>
      </c>
      <c r="I37" s="9">
        <f>SUM(I33:I35)</f>
        <v>833.93535231999999</v>
      </c>
      <c r="J37" s="9">
        <f t="shared" ref="J37:K37" si="20">SUM(J33:J35)</f>
        <v>829.67564343000004</v>
      </c>
      <c r="K37" s="9">
        <f t="shared" si="20"/>
        <v>846.79471059000002</v>
      </c>
      <c r="L37" s="9">
        <f t="shared" ref="L37:N37" si="21">SUM(L33:L35)</f>
        <v>846.70143558999985</v>
      </c>
      <c r="M37" s="9">
        <f t="shared" si="21"/>
        <v>829.91270053999983</v>
      </c>
      <c r="N37" s="9">
        <f t="shared" si="21"/>
        <v>828.01799592999987</v>
      </c>
      <c r="O37" s="9">
        <f t="shared" ref="O37:S37" si="22">SUM(O33:O35)</f>
        <v>814.41467638999995</v>
      </c>
      <c r="P37" s="9">
        <f t="shared" si="22"/>
        <v>783.97156977999998</v>
      </c>
      <c r="Q37" s="9">
        <f t="shared" si="22"/>
        <v>801.09662344000003</v>
      </c>
      <c r="R37" s="9">
        <f t="shared" si="22"/>
        <v>929.57391276999988</v>
      </c>
      <c r="S37" s="9">
        <f t="shared" si="22"/>
        <v>907.04075906999992</v>
      </c>
      <c r="T37" s="9">
        <f t="shared" ref="T37:U37" si="23">SUM(T33:T35)</f>
        <v>921.2140707399999</v>
      </c>
      <c r="U37" s="9">
        <f t="shared" si="23"/>
        <v>930.31909737000001</v>
      </c>
      <c r="V37" s="9">
        <f>SUM(V33:V35)</f>
        <v>932.90972977000001</v>
      </c>
      <c r="W37" s="9">
        <f>SUM(W33:W35)</f>
        <v>888.51798157000007</v>
      </c>
      <c r="X37" s="9">
        <f>SUM(X33:X35)</f>
        <v>757.11540714</v>
      </c>
      <c r="Y37" s="9">
        <f t="shared" ref="Y37" si="24">SUM(Y33:Y35)</f>
        <v>734.03319145</v>
      </c>
      <c r="Z37" s="9">
        <f t="shared" ref="Z37:AF37" si="25">SUM(Z33:Z35)</f>
        <v>735.97548286999995</v>
      </c>
      <c r="AA37" s="9">
        <f t="shared" si="25"/>
        <v>705.65469342454105</v>
      </c>
      <c r="AB37" s="9">
        <f t="shared" si="25"/>
        <v>704.71953740000004</v>
      </c>
      <c r="AC37" s="9">
        <f t="shared" si="25"/>
        <v>709.82575362986358</v>
      </c>
      <c r="AD37" s="9">
        <f t="shared" si="25"/>
        <v>712.0786269830719</v>
      </c>
      <c r="AE37" s="9">
        <f t="shared" si="25"/>
        <v>687.2962349500001</v>
      </c>
      <c r="AF37" s="9">
        <f t="shared" si="25"/>
        <v>719.47816104000003</v>
      </c>
      <c r="AG37" s="9">
        <f>+AG33+AG34+AG35</f>
        <v>695.91695880871828</v>
      </c>
      <c r="AH37" s="9">
        <f t="shared" ref="AH37" si="26">+AH33+AH34+AH35</f>
        <v>691.6895644219685</v>
      </c>
      <c r="AI37" s="9">
        <f>+AI33+AI34+AI35</f>
        <v>712.93170427000007</v>
      </c>
      <c r="AJ37" s="9">
        <f>SUM(AJ33:AJ35)</f>
        <v>684.46266187999993</v>
      </c>
    </row>
    <row r="39" spans="1:36">
      <c r="AG39" s="100"/>
      <c r="AH39" s="52"/>
    </row>
    <row r="40" spans="1:36">
      <c r="P40" s="52"/>
      <c r="T40" s="52"/>
      <c r="U40" s="52"/>
      <c r="V40" s="52"/>
      <c r="W40" s="52"/>
      <c r="X40" s="52"/>
      <c r="Y40" s="52"/>
      <c r="Z40" s="52"/>
      <c r="AA40" s="52"/>
      <c r="AB40" s="52"/>
      <c r="AC40" s="52"/>
      <c r="AD40" s="52"/>
      <c r="AF40" s="100"/>
      <c r="AG40" s="100"/>
      <c r="AH40" s="100"/>
      <c r="AI40" s="100"/>
      <c r="AJ40" s="52"/>
    </row>
    <row r="41" spans="1:36">
      <c r="P41" s="52"/>
      <c r="T41" s="52"/>
      <c r="U41" s="52"/>
      <c r="V41" s="52"/>
      <c r="W41" s="52"/>
      <c r="X41" s="52"/>
      <c r="Y41" s="52"/>
      <c r="Z41" s="52"/>
      <c r="AA41" s="52"/>
      <c r="AB41" s="52"/>
      <c r="AC41" s="52"/>
      <c r="AD41" s="52"/>
      <c r="AF41" s="100"/>
      <c r="AG41" s="100"/>
      <c r="AH41" s="100"/>
      <c r="AI41" s="100"/>
      <c r="AJ41" s="52"/>
    </row>
    <row r="42" spans="1:36">
      <c r="P42" s="52"/>
      <c r="T42" s="52"/>
      <c r="U42" s="52"/>
      <c r="V42" s="52"/>
      <c r="W42" s="52"/>
      <c r="X42" s="52"/>
      <c r="Y42" s="52"/>
      <c r="Z42" s="52"/>
      <c r="AA42" s="52"/>
      <c r="AB42" s="52"/>
      <c r="AC42" s="52"/>
      <c r="AD42" s="52"/>
    </row>
    <row r="43" spans="1:36">
      <c r="P43" s="52"/>
      <c r="T43" s="52"/>
      <c r="U43" s="52"/>
      <c r="V43" s="52"/>
      <c r="W43" s="52"/>
      <c r="X43" s="52"/>
      <c r="Y43" s="52"/>
      <c r="Z43" s="52"/>
      <c r="AA43" s="52"/>
      <c r="AB43" s="52"/>
      <c r="AC43" s="52"/>
      <c r="AD43" s="52"/>
      <c r="AF43" s="100"/>
      <c r="AG43" s="100"/>
      <c r="AH43" s="100"/>
      <c r="AI43" s="100"/>
      <c r="AJ43" s="52"/>
    </row>
    <row r="44" spans="1:36">
      <c r="P44" s="52"/>
      <c r="T44" s="52"/>
      <c r="U44" s="52"/>
      <c r="V44" s="52"/>
      <c r="W44" s="52"/>
      <c r="X44" s="52"/>
      <c r="Y44" s="52"/>
      <c r="Z44" s="52"/>
      <c r="AA44" s="52"/>
      <c r="AB44" s="52"/>
      <c r="AC44" s="52"/>
      <c r="AD44" s="52"/>
      <c r="AF44" s="100"/>
      <c r="AG44" s="100"/>
      <c r="AH44" s="100"/>
      <c r="AI44" s="100"/>
      <c r="AJ44" s="52"/>
    </row>
    <row r="45" spans="1:36">
      <c r="P45" s="52"/>
      <c r="T45" s="52"/>
      <c r="U45" s="52"/>
      <c r="V45" s="52"/>
      <c r="W45" s="52"/>
      <c r="X45" s="52"/>
      <c r="Y45" s="52"/>
      <c r="Z45" s="52"/>
      <c r="AA45" s="52"/>
      <c r="AB45" s="52"/>
      <c r="AC45" s="52"/>
      <c r="AD45" s="52"/>
      <c r="AF45" s="100"/>
      <c r="AG45" s="100"/>
      <c r="AH45" s="100"/>
      <c r="AI45" s="100"/>
      <c r="AJ45" s="100"/>
    </row>
    <row r="46" spans="1:36">
      <c r="P46" s="52"/>
      <c r="T46" s="52"/>
      <c r="U46" s="52"/>
      <c r="V46" s="52"/>
      <c r="W46" s="52"/>
      <c r="X46" s="52"/>
      <c r="Y46" s="52"/>
      <c r="Z46" s="52"/>
      <c r="AA46" s="52"/>
      <c r="AB46" s="52"/>
      <c r="AC46" s="52"/>
      <c r="AD46" s="52"/>
      <c r="AF46" s="100"/>
      <c r="AG46" s="100"/>
      <c r="AH46" s="100"/>
      <c r="AI46" s="100"/>
      <c r="AJ46" s="100"/>
    </row>
    <row r="47" spans="1:36">
      <c r="P47" s="52"/>
      <c r="T47" s="52"/>
      <c r="U47" s="52"/>
      <c r="V47" s="52"/>
      <c r="W47" s="52"/>
      <c r="X47" s="52"/>
      <c r="Y47" s="52"/>
      <c r="Z47" s="52"/>
      <c r="AA47" s="52"/>
      <c r="AB47" s="52"/>
      <c r="AC47" s="52"/>
      <c r="AD47" s="52"/>
      <c r="AF47" s="100"/>
      <c r="AG47" s="100"/>
      <c r="AH47" s="100"/>
      <c r="AI47" s="100"/>
      <c r="AJ47" s="100"/>
    </row>
    <row r="48" spans="1:36">
      <c r="P48" s="52"/>
      <c r="T48" s="52"/>
      <c r="U48" s="52"/>
      <c r="V48" s="52"/>
      <c r="W48" s="52"/>
      <c r="X48" s="52"/>
      <c r="Y48" s="52"/>
      <c r="Z48" s="52"/>
      <c r="AA48" s="52"/>
      <c r="AB48" s="52"/>
      <c r="AC48" s="52"/>
      <c r="AD48" s="52"/>
    </row>
    <row r="49" spans="16:30">
      <c r="P49" s="52"/>
      <c r="T49" s="52"/>
      <c r="U49" s="52"/>
      <c r="V49" s="52"/>
      <c r="W49" s="52"/>
      <c r="X49" s="52"/>
      <c r="Y49" s="52"/>
      <c r="Z49" s="52"/>
      <c r="AA49" s="52"/>
      <c r="AB49" s="52"/>
      <c r="AC49" s="52"/>
      <c r="AD49" s="52"/>
    </row>
  </sheetData>
  <mergeCells count="62">
    <mergeCell ref="AJ6:AJ7"/>
    <mergeCell ref="AJ25:AJ26"/>
    <mergeCell ref="L25:L26"/>
    <mergeCell ref="M6:M7"/>
    <mergeCell ref="W25:W26"/>
    <mergeCell ref="W6:W7"/>
    <mergeCell ref="AI6:AI7"/>
    <mergeCell ref="AI25:AI26"/>
    <mergeCell ref="AD6:AD7"/>
    <mergeCell ref="AD25:AD26"/>
    <mergeCell ref="AC6:AC7"/>
    <mergeCell ref="AC25:AC26"/>
    <mergeCell ref="M25:M26"/>
    <mergeCell ref="Q6:Q7"/>
    <mergeCell ref="Y6:Y7"/>
    <mergeCell ref="Y25:Y26"/>
    <mergeCell ref="AB6:AB7"/>
    <mergeCell ref="AB25:AB26"/>
    <mergeCell ref="I25:I26"/>
    <mergeCell ref="L6:L7"/>
    <mergeCell ref="J25:J26"/>
    <mergeCell ref="K25:K26"/>
    <mergeCell ref="Z6:Z7"/>
    <mergeCell ref="Z25:Z26"/>
    <mergeCell ref="AH6:AH7"/>
    <mergeCell ref="AH25:AH26"/>
    <mergeCell ref="J6:J7"/>
    <mergeCell ref="V6:V7"/>
    <mergeCell ref="V25:V26"/>
    <mergeCell ref="K6:K7"/>
    <mergeCell ref="Q25:Q26"/>
    <mergeCell ref="O6:O7"/>
    <mergeCell ref="S25:S26"/>
    <mergeCell ref="R6:R7"/>
    <mergeCell ref="R25:R26"/>
    <mergeCell ref="P6:P7"/>
    <mergeCell ref="X6:X7"/>
    <mergeCell ref="AA6:AA7"/>
    <mergeCell ref="AA25:AA26"/>
    <mergeCell ref="X25:X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G6:AG7"/>
    <mergeCell ref="AG25:AG26"/>
    <mergeCell ref="AF6:AF7"/>
    <mergeCell ref="AF25:AF26"/>
    <mergeCell ref="AE6:AE7"/>
    <mergeCell ref="AE25:AE26"/>
  </mergeCells>
  <pageMargins left="0.7" right="0.7" top="0.75" bottom="0.75" header="0.3" footer="0.3"/>
  <pageSetup orientation="portrait" r:id="rId1"/>
  <ignoredErrors>
    <ignoredError sqref="E28:E31 E33:E37"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4:AW31"/>
  <sheetViews>
    <sheetView tabSelected="1" zoomScale="74" zoomScaleNormal="74" workbookViewId="0">
      <selection activeCell="AW28" sqref="AW28"/>
    </sheetView>
  </sheetViews>
  <sheetFormatPr defaultColWidth="11.453125" defaultRowHeight="13.5"/>
  <cols>
    <col min="1" max="1" width="30.26953125" style="1" customWidth="1"/>
    <col min="2" max="5" width="11.453125" style="1"/>
    <col min="6" max="6" width="11.453125" style="57"/>
    <col min="7" max="7" width="32.7265625" style="1" customWidth="1"/>
    <col min="8" max="39" width="11.453125" style="1" hidden="1" customWidth="1"/>
    <col min="40" max="42" width="0" style="1" hidden="1" customWidth="1"/>
    <col min="43" max="16384" width="11.453125" style="1"/>
  </cols>
  <sheetData>
    <row r="4" spans="1:49"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row>
    <row r="6" spans="1:49">
      <c r="A6" s="3" t="s">
        <v>162</v>
      </c>
      <c r="B6" s="108" t="s">
        <v>43</v>
      </c>
      <c r="C6" s="108" t="s">
        <v>44</v>
      </c>
      <c r="D6" s="108" t="s">
        <v>45</v>
      </c>
      <c r="F6" s="57">
        <v>1</v>
      </c>
      <c r="G6" s="3" t="s">
        <v>162</v>
      </c>
      <c r="H6" s="108" t="s">
        <v>47</v>
      </c>
      <c r="I6" s="108" t="s">
        <v>48</v>
      </c>
      <c r="J6" s="108" t="s">
        <v>49</v>
      </c>
      <c r="K6" s="108" t="s">
        <v>50</v>
      </c>
      <c r="L6" s="108" t="s">
        <v>51</v>
      </c>
      <c r="M6" s="108" t="s">
        <v>52</v>
      </c>
      <c r="N6" s="108" t="s">
        <v>53</v>
      </c>
      <c r="O6" s="108" t="s">
        <v>54</v>
      </c>
      <c r="P6" s="108" t="s">
        <v>55</v>
      </c>
      <c r="Q6" s="108" t="s">
        <v>56</v>
      </c>
      <c r="R6" s="108" t="s">
        <v>57</v>
      </c>
      <c r="S6" s="108" t="s">
        <v>58</v>
      </c>
      <c r="T6" s="108" t="s">
        <v>59</v>
      </c>
      <c r="U6" s="108" t="s">
        <v>60</v>
      </c>
      <c r="V6" s="108" t="s">
        <v>61</v>
      </c>
      <c r="W6" s="108" t="s">
        <v>62</v>
      </c>
      <c r="X6" s="108" t="s">
        <v>63</v>
      </c>
      <c r="Y6" s="108" t="s">
        <v>64</v>
      </c>
      <c r="Z6" s="108" t="s">
        <v>65</v>
      </c>
      <c r="AA6" s="108" t="s">
        <v>66</v>
      </c>
      <c r="AB6" s="108" t="s">
        <v>67</v>
      </c>
      <c r="AC6" s="108" t="s">
        <v>68</v>
      </c>
      <c r="AD6" s="108" t="s">
        <v>69</v>
      </c>
      <c r="AE6" s="108" t="s">
        <v>70</v>
      </c>
      <c r="AF6" s="108" t="s">
        <v>71</v>
      </c>
      <c r="AG6" s="108" t="s">
        <v>72</v>
      </c>
      <c r="AH6" s="108" t="s">
        <v>73</v>
      </c>
      <c r="AI6" s="108" t="s">
        <v>74</v>
      </c>
      <c r="AJ6" s="108" t="s">
        <v>75</v>
      </c>
      <c r="AK6" s="108" t="s">
        <v>76</v>
      </c>
      <c r="AL6" s="108" t="s">
        <v>77</v>
      </c>
      <c r="AM6" s="108" t="s">
        <v>78</v>
      </c>
      <c r="AN6" s="108" t="s">
        <v>79</v>
      </c>
      <c r="AO6" s="108" t="s">
        <v>80</v>
      </c>
      <c r="AP6" s="108" t="s">
        <v>81</v>
      </c>
      <c r="AQ6" s="108" t="s">
        <v>43</v>
      </c>
      <c r="AR6" s="108" t="s">
        <v>82</v>
      </c>
      <c r="AS6" s="108" t="s">
        <v>83</v>
      </c>
      <c r="AT6" s="108" t="s">
        <v>84</v>
      </c>
      <c r="AU6" s="108" t="s">
        <v>44</v>
      </c>
    </row>
    <row r="7" spans="1:49">
      <c r="A7" s="3" t="s">
        <v>105</v>
      </c>
      <c r="B7" s="108"/>
      <c r="C7" s="108"/>
      <c r="D7" s="108"/>
      <c r="F7" s="57">
        <f>F6+1</f>
        <v>2</v>
      </c>
      <c r="G7" s="3" t="s">
        <v>105</v>
      </c>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row>
    <row r="8" spans="1:49">
      <c r="F8" s="57">
        <f t="shared" ref="F8:F13" si="0">F7+1</f>
        <v>3</v>
      </c>
    </row>
    <row r="9" spans="1:49">
      <c r="A9" s="5" t="s">
        <v>163</v>
      </c>
      <c r="B9" s="8">
        <f>HLOOKUP($B$6,$G$6:$BM$13,$F9,FALSE)</f>
        <v>1742.59</v>
      </c>
      <c r="C9" s="8">
        <f>HLOOKUP($C$6,$G$6:$BM$13,$F9,FALSE)</f>
        <v>1763.6100000000001</v>
      </c>
      <c r="D9" s="45">
        <f>C9/B9-1</f>
        <v>1.2062504662599949E-2</v>
      </c>
      <c r="F9" s="57">
        <f t="shared" si="0"/>
        <v>4</v>
      </c>
      <c r="G9" s="5" t="s">
        <v>164</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+'[2]01.BALANCE'!$R$3+'[2]01.BALANCE'!$R$11</f>
        <v>1717.8100000000002</v>
      </c>
      <c r="AO9" s="8">
        <v>1726.8473695093601</v>
      </c>
      <c r="AP9" s="8">
        <v>1717.45</v>
      </c>
      <c r="AQ9" s="8">
        <v>1742.59</v>
      </c>
      <c r="AR9" s="8">
        <f>2118.72699638299-AR23</f>
        <v>1742.03594457299</v>
      </c>
      <c r="AS9" s="8">
        <f>1725.24+22.19</f>
        <v>1747.43</v>
      </c>
      <c r="AT9" s="8">
        <v>1749.79</v>
      </c>
      <c r="AU9" s="8">
        <v>1763.6100000000001</v>
      </c>
      <c r="AV9" s="47"/>
      <c r="AW9" s="47"/>
    </row>
    <row r="10" spans="1:49">
      <c r="A10" s="5" t="s">
        <v>165</v>
      </c>
      <c r="B10" s="8">
        <f>HLOOKUP($B$6,$G$6:$BM$13,$F10,FALSE)</f>
        <v>1104.6600000000001</v>
      </c>
      <c r="C10" s="8">
        <f>HLOOKUP($C$6,$G$6:$BM$13,$F10,FALSE)</f>
        <v>985.22022000000004</v>
      </c>
      <c r="D10" s="45">
        <f t="shared" ref="D10:D13" si="1">C10/B10-1</f>
        <v>-0.10812356743251317</v>
      </c>
      <c r="F10" s="57">
        <f t="shared" si="0"/>
        <v>5</v>
      </c>
      <c r="G10" s="5" t="s">
        <v>165</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+'[2]01.BALANCE'!$O$3</f>
        <v>1175.0899999999999</v>
      </c>
      <c r="AO10" s="8">
        <v>950.66543734941501</v>
      </c>
      <c r="AP10" s="8">
        <v>1150.7</v>
      </c>
      <c r="AQ10" s="8">
        <v>1104.6600000000001</v>
      </c>
      <c r="AR10" s="8">
        <f>1061.85538023994-AR24</f>
        <v>1022.5991758824366</v>
      </c>
      <c r="AS10" s="8">
        <v>919.78346999999997</v>
      </c>
      <c r="AT10" s="8">
        <v>1130.56808</v>
      </c>
      <c r="AU10" s="8">
        <v>985.22022000000004</v>
      </c>
      <c r="AV10" s="47"/>
      <c r="AW10" s="47"/>
    </row>
    <row r="11" spans="1:49">
      <c r="A11" s="5" t="s">
        <v>166</v>
      </c>
      <c r="B11" s="8">
        <f>HLOOKUP($B$6,$G$6:$BM$13,$F11,FALSE)</f>
        <v>637.92999999999984</v>
      </c>
      <c r="C11" s="8">
        <f>HLOOKUP($C$6,$G$6:$BM$13,$F11,FALSE)</f>
        <v>778.38978000000009</v>
      </c>
      <c r="D11" s="45">
        <f t="shared" si="1"/>
        <v>0.22018055272522119</v>
      </c>
      <c r="F11" s="57">
        <f t="shared" si="0"/>
        <v>6</v>
      </c>
      <c r="G11" s="5" t="s">
        <v>166</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+AS9-AS10</f>
        <v>827.6465300000001</v>
      </c>
      <c r="AT11" s="8">
        <f>+AT9-AT10</f>
        <v>619.22191999999995</v>
      </c>
      <c r="AU11" s="8">
        <f>+AU9-AU10</f>
        <v>778.38978000000009</v>
      </c>
      <c r="AV11" s="47"/>
      <c r="AW11" s="47"/>
    </row>
    <row r="12" spans="1:49">
      <c r="A12" s="5" t="s">
        <v>167</v>
      </c>
      <c r="B12" s="8">
        <f>HLOOKUP($B$6,$G$6:$BM$13,$F12,FALSE)</f>
        <v>657.96531996665976</v>
      </c>
      <c r="C12" s="8">
        <f>HLOOKUP($C$6,$G$6:$BM$13,$F12,FALSE)</f>
        <v>615.3996335079039</v>
      </c>
      <c r="D12" s="45">
        <f t="shared" si="1"/>
        <v>-6.4692902751945613E-2</v>
      </c>
      <c r="F12" s="57">
        <f t="shared" si="0"/>
        <v>7</v>
      </c>
      <c r="G12" s="5" t="s">
        <v>167</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707.60881321912564</v>
      </c>
      <c r="AT12" s="8">
        <f>+SUM('Operating Income'!AR33:AU33)</f>
        <v>704.43017665886168</v>
      </c>
      <c r="AU12" s="8">
        <f>SUM('Operating Income'!AS33:AV33)</f>
        <v>615.3996335079039</v>
      </c>
      <c r="AV12" s="47"/>
      <c r="AW12" s="47"/>
    </row>
    <row r="13" spans="1:49">
      <c r="A13" s="5" t="s">
        <v>168</v>
      </c>
      <c r="B13" s="8">
        <f>HLOOKUP($B$6,$G$6:$BM$13,$F13,FALSE)</f>
        <v>0.96954958056501339</v>
      </c>
      <c r="C13" s="8">
        <f>HLOOKUP($C$6,$G$6:$BM$13,$F13,FALSE)</f>
        <v>1.2648525244693745</v>
      </c>
      <c r="D13" s="45">
        <f t="shared" si="1"/>
        <v>0.3045774551645628</v>
      </c>
      <c r="F13" s="57">
        <f t="shared" si="0"/>
        <v>8</v>
      </c>
      <c r="G13" s="5" t="s">
        <v>168</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101</v>
      </c>
      <c r="AM13" s="8">
        <f>+AM11/AM12</f>
        <v>1.0862111031788311</v>
      </c>
      <c r="AN13" s="8">
        <f>+AN11/AN12</f>
        <v>1.2512426200987554</v>
      </c>
      <c r="AO13" s="8">
        <f>+AO11/AO12</f>
        <v>1.7257443315691554</v>
      </c>
      <c r="AP13" s="8">
        <f>+AP11/AP12</f>
        <v>0.98030291852926432</v>
      </c>
      <c r="AQ13" s="8">
        <f>+AQ11/AQ12</f>
        <v>0.96954958056501339</v>
      </c>
      <c r="AR13" s="8">
        <v>1.3048788675839702</v>
      </c>
      <c r="AS13" s="8">
        <f>+AS11/AS12</f>
        <v>1.1696385270200165</v>
      </c>
      <c r="AT13" s="8">
        <f>+AT11/AT12</f>
        <v>0.87903945702183339</v>
      </c>
      <c r="AU13" s="8">
        <f>+AU11/AU12</f>
        <v>1.2648525244693745</v>
      </c>
      <c r="AV13" s="47"/>
      <c r="AW13" s="47"/>
    </row>
    <row r="14" spans="1:49">
      <c r="B14" s="5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row>
    <row r="15" spans="1:49">
      <c r="B15" s="52"/>
      <c r="C15" s="52"/>
    </row>
    <row r="16" spans="1:49">
      <c r="D16" s="52"/>
    </row>
    <row r="17" spans="1:49">
      <c r="AV17" s="52"/>
    </row>
    <row r="18" spans="1:49" ht="23.5">
      <c r="A18" s="11" t="s">
        <v>37</v>
      </c>
      <c r="B18" s="12"/>
      <c r="C18" s="12"/>
      <c r="D18" s="12"/>
      <c r="G18" s="11" t="s">
        <v>37</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52"/>
    </row>
    <row r="19" spans="1:49">
      <c r="AV19" s="52"/>
      <c r="AW19" s="53"/>
    </row>
    <row r="20" spans="1:49">
      <c r="A20" s="3" t="s">
        <v>162</v>
      </c>
      <c r="B20" s="108" t="str">
        <f>B6</f>
        <v>4Q22</v>
      </c>
      <c r="C20" s="108" t="str">
        <f>C6</f>
        <v>4Q23</v>
      </c>
      <c r="D20" s="108" t="s">
        <v>45</v>
      </c>
      <c r="F20" s="57">
        <v>1</v>
      </c>
      <c r="G20" s="3" t="s">
        <v>162</v>
      </c>
      <c r="H20" s="108" t="s">
        <v>47</v>
      </c>
      <c r="I20" s="108" t="s">
        <v>48</v>
      </c>
      <c r="J20" s="108" t="s">
        <v>49</v>
      </c>
      <c r="K20" s="108" t="s">
        <v>50</v>
      </c>
      <c r="L20" s="108" t="s">
        <v>51</v>
      </c>
      <c r="M20" s="108" t="s">
        <v>52</v>
      </c>
      <c r="N20" s="108" t="s">
        <v>53</v>
      </c>
      <c r="O20" s="108" t="s">
        <v>54</v>
      </c>
      <c r="P20" s="108" t="s">
        <v>55</v>
      </c>
      <c r="Q20" s="108" t="s">
        <v>56</v>
      </c>
      <c r="R20" s="108" t="s">
        <v>57</v>
      </c>
      <c r="S20" s="108" t="s">
        <v>58</v>
      </c>
      <c r="T20" s="108" t="s">
        <v>59</v>
      </c>
      <c r="U20" s="108" t="s">
        <v>60</v>
      </c>
      <c r="V20" s="108" t="s">
        <v>61</v>
      </c>
      <c r="W20" s="108" t="s">
        <v>62</v>
      </c>
      <c r="X20" s="108" t="s">
        <v>63</v>
      </c>
      <c r="Y20" s="108" t="s">
        <v>64</v>
      </c>
      <c r="Z20" s="108" t="s">
        <v>65</v>
      </c>
      <c r="AA20" s="108" t="s">
        <v>66</v>
      </c>
      <c r="AB20" s="108" t="s">
        <v>67</v>
      </c>
      <c r="AC20" s="108" t="s">
        <v>68</v>
      </c>
      <c r="AD20" s="108" t="s">
        <v>69</v>
      </c>
      <c r="AE20" s="108" t="s">
        <v>70</v>
      </c>
      <c r="AF20" s="108" t="s">
        <v>71</v>
      </c>
      <c r="AG20" s="108" t="s">
        <v>72</v>
      </c>
      <c r="AH20" s="108" t="s">
        <v>73</v>
      </c>
      <c r="AI20" s="108" t="s">
        <v>74</v>
      </c>
      <c r="AJ20" s="108" t="s">
        <v>75</v>
      </c>
      <c r="AK20" s="108" t="s">
        <v>76</v>
      </c>
      <c r="AL20" s="108" t="s">
        <v>77</v>
      </c>
      <c r="AM20" s="108" t="s">
        <v>78</v>
      </c>
      <c r="AN20" s="108" t="s">
        <v>79</v>
      </c>
      <c r="AO20" s="108" t="s">
        <v>80</v>
      </c>
      <c r="AP20" s="108" t="s">
        <v>81</v>
      </c>
      <c r="AQ20" s="108" t="s">
        <v>43</v>
      </c>
      <c r="AR20" s="108" t="s">
        <v>82</v>
      </c>
      <c r="AS20" s="108" t="s">
        <v>83</v>
      </c>
      <c r="AT20" s="108" t="s">
        <v>84</v>
      </c>
      <c r="AU20" s="108" t="s">
        <v>44</v>
      </c>
      <c r="AV20" s="52"/>
      <c r="AW20" s="52"/>
    </row>
    <row r="21" spans="1:49">
      <c r="A21" s="3" t="s">
        <v>105</v>
      </c>
      <c r="B21" s="108"/>
      <c r="C21" s="108"/>
      <c r="D21" s="108"/>
      <c r="F21" s="57">
        <f>F20+1</f>
        <v>2</v>
      </c>
      <c r="G21" s="3" t="s">
        <v>105</v>
      </c>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52"/>
      <c r="AW21" s="53"/>
    </row>
    <row r="22" spans="1:49">
      <c r="F22" s="57">
        <f t="shared" ref="F22:F27" si="17">F21+1</f>
        <v>3</v>
      </c>
      <c r="AV22" s="52"/>
    </row>
    <row r="23" spans="1:49">
      <c r="A23" s="5" t="s">
        <v>163</v>
      </c>
      <c r="B23" s="8">
        <f>HLOOKUP($B$20,$G$20:$BN$27,$F23,FALSE)</f>
        <v>395.33205693999997</v>
      </c>
      <c r="C23" s="8">
        <f>HLOOKUP($C$20,$G$20:$BN$27,$F23,FALSE)</f>
        <v>359.66220430999999</v>
      </c>
      <c r="D23" s="45">
        <f>C23/B23-1</f>
        <v>-9.0227574525821086E-2</v>
      </c>
      <c r="F23" s="57">
        <f t="shared" si="17"/>
        <v>4</v>
      </c>
      <c r="G23" s="5" t="s">
        <v>164</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+'[3]Carp Dir'!$I$4+'[3]Carp Dir'!$I$12</f>
        <v>459.55068038999997</v>
      </c>
      <c r="AJ23" s="8">
        <v>443.4</v>
      </c>
      <c r="AK23" s="8">
        <v>444.9</v>
      </c>
      <c r="AL23" s="8">
        <v>428.2660204</v>
      </c>
      <c r="AM23" s="8">
        <v>429.57719356000001</v>
      </c>
      <c r="AN23" s="8">
        <f>+'[2]01.BALANCE'!$S$3+'[2]01.BALANCE'!$S$11</f>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52"/>
      <c r="AW23" s="52"/>
    </row>
    <row r="24" spans="1:49">
      <c r="A24" s="5" t="s">
        <v>165</v>
      </c>
      <c r="B24" s="8">
        <f>HLOOKUP($B$20,$G$20:$BN$27,$F24,FALSE)</f>
        <v>49.780322774867329</v>
      </c>
      <c r="C24" s="8">
        <f>HLOOKUP($C$20,$G$20:$BN$27,$F24,FALSE)</f>
        <v>45.912658889999996</v>
      </c>
      <c r="D24" s="45">
        <f t="shared" ref="D24:D27" si="18">C24/B24-1</f>
        <v>-7.7694632522953611E-2</v>
      </c>
      <c r="F24" s="57">
        <f t="shared" si="17"/>
        <v>5</v>
      </c>
      <c r="G24" s="5" t="s">
        <v>165</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+'[3]Carp Dir'!$D$4</f>
        <v>28.840882880000002</v>
      </c>
      <c r="AJ24" s="8">
        <v>21.843691669999998</v>
      </c>
      <c r="AK24" s="8">
        <v>33.105058530000001</v>
      </c>
      <c r="AL24" s="8">
        <v>21.281165947678915</v>
      </c>
      <c r="AM24" s="8">
        <v>27.868612689999999</v>
      </c>
      <c r="AN24" s="8">
        <f>+'[2]01.BALANCE'!$R$3</f>
        <v>21.9</v>
      </c>
      <c r="AO24" s="8">
        <v>39.155071289971971</v>
      </c>
      <c r="AP24" s="8">
        <v>25.200533866652698</v>
      </c>
      <c r="AQ24" s="8">
        <v>49.780322774867329</v>
      </c>
      <c r="AR24" s="8">
        <v>39.256204357503321</v>
      </c>
      <c r="AS24" s="8">
        <v>29.94541975204514</v>
      </c>
      <c r="AT24" s="8">
        <v>40.156621789999996</v>
      </c>
      <c r="AU24" s="8">
        <v>45.912658889999996</v>
      </c>
    </row>
    <row r="25" spans="1:49">
      <c r="A25" s="5" t="s">
        <v>166</v>
      </c>
      <c r="B25" s="8">
        <f>HLOOKUP($B$20,$G$20:$BN$27,$F25,FALSE)</f>
        <v>345.55173416513264</v>
      </c>
      <c r="C25" s="8">
        <f>HLOOKUP($C$20,$G$20:$BN$27,$F25,FALSE)</f>
        <v>313.74954542</v>
      </c>
      <c r="D25" s="45">
        <f t="shared" si="18"/>
        <v>-9.2033075226689465E-2</v>
      </c>
      <c r="F25" s="57">
        <f t="shared" si="17"/>
        <v>6</v>
      </c>
      <c r="G25" s="5" t="s">
        <v>166</v>
      </c>
      <c r="H25" s="33"/>
      <c r="I25" s="33"/>
      <c r="J25" s="33"/>
      <c r="K25" s="33"/>
      <c r="L25" s="33"/>
      <c r="M25" s="33"/>
      <c r="N25" s="33"/>
      <c r="O25" s="33"/>
      <c r="P25" s="8">
        <f>P23-P24</f>
        <v>357.60892777999999</v>
      </c>
      <c r="Q25" s="8">
        <f t="shared" ref="Q25:V25" si="19">Q23-Q24</f>
        <v>356.25294137999998</v>
      </c>
      <c r="R25" s="8">
        <f t="shared" si="19"/>
        <v>335.77891646</v>
      </c>
      <c r="S25" s="8">
        <f t="shared" si="19"/>
        <v>340.85219169999999</v>
      </c>
      <c r="T25" s="8">
        <f t="shared" si="19"/>
        <v>321.79686831000004</v>
      </c>
      <c r="U25" s="8">
        <f>U23-U24</f>
        <v>323.54273853000001</v>
      </c>
      <c r="V25" s="8">
        <f t="shared" si="19"/>
        <v>307.34432609999999</v>
      </c>
      <c r="W25" s="8">
        <f t="shared" ref="W25:X25" si="20">W23-W24</f>
        <v>301.15624766999997</v>
      </c>
      <c r="X25" s="8">
        <f t="shared" si="20"/>
        <v>309.76924835</v>
      </c>
      <c r="Y25" s="8">
        <f t="shared" ref="Y25:Z25" si="21">Y23-Y24</f>
        <v>301.63502271999999</v>
      </c>
      <c r="Z25" s="8">
        <f t="shared" si="21"/>
        <v>298.98818391000003</v>
      </c>
      <c r="AA25" s="8">
        <v>325.38267724999997</v>
      </c>
      <c r="AB25" s="8">
        <f t="shared" ref="AB25:AG25" si="22">+AB23-AB24</f>
        <v>326.88414798999992</v>
      </c>
      <c r="AC25" s="8">
        <f t="shared" si="22"/>
        <v>451.34711448999997</v>
      </c>
      <c r="AD25" s="8">
        <f t="shared" si="22"/>
        <v>443.80922921000001</v>
      </c>
      <c r="AE25" s="8">
        <f t="shared" si="22"/>
        <v>435.49487671999998</v>
      </c>
      <c r="AF25" s="8">
        <f t="shared" si="22"/>
        <v>438.50044033000006</v>
      </c>
      <c r="AG25" s="8">
        <f t="shared" si="22"/>
        <v>431.32762690999999</v>
      </c>
      <c r="AH25" s="8">
        <v>431.15739717999998</v>
      </c>
      <c r="AI25" s="8">
        <f t="shared" ref="AI25:AU25" si="23">+AI23-AI24</f>
        <v>430.70979750999999</v>
      </c>
      <c r="AJ25" s="8">
        <f t="shared" si="23"/>
        <v>421.55630832999998</v>
      </c>
      <c r="AK25" s="8">
        <f t="shared" si="23"/>
        <v>411.79494146999997</v>
      </c>
      <c r="AL25" s="8">
        <f t="shared" si="23"/>
        <v>406.98485445232109</v>
      </c>
      <c r="AM25" s="8">
        <f t="shared" si="23"/>
        <v>401.70858086999999</v>
      </c>
      <c r="AN25" s="8">
        <f t="shared" si="23"/>
        <v>389.46103897</v>
      </c>
      <c r="AO25" s="8">
        <f t="shared" si="23"/>
        <v>373.3009837800281</v>
      </c>
      <c r="AP25" s="8">
        <f t="shared" si="23"/>
        <v>369.24407493334735</v>
      </c>
      <c r="AQ25" s="8">
        <f t="shared" si="23"/>
        <v>345.55173416513264</v>
      </c>
      <c r="AR25" s="8">
        <f t="shared" si="23"/>
        <v>337.43484745249668</v>
      </c>
      <c r="AS25" s="8">
        <f t="shared" si="23"/>
        <v>347.44948270795487</v>
      </c>
      <c r="AT25" s="8">
        <f t="shared" si="23"/>
        <v>319.06691590000008</v>
      </c>
      <c r="AU25" s="8">
        <f t="shared" si="23"/>
        <v>313.74954542</v>
      </c>
    </row>
    <row r="26" spans="1:49">
      <c r="A26" s="5" t="s">
        <v>167</v>
      </c>
      <c r="B26" s="8">
        <f>HLOOKUP($B$20,$G$20:$BN$27,$F26,FALSE)</f>
        <v>105.13941662000002</v>
      </c>
      <c r="C26" s="8">
        <f>HLOOKUP($C$20,$G$20:$BN$27,$F26,FALSE)</f>
        <v>98.132997599999982</v>
      </c>
      <c r="D26" s="45">
        <f t="shared" si="18"/>
        <v>-6.6639318014508064E-2</v>
      </c>
      <c r="F26" s="57">
        <f t="shared" si="17"/>
        <v>7</v>
      </c>
      <c r="G26" s="5" t="s">
        <v>167</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row>
    <row r="27" spans="1:49">
      <c r="A27" s="5" t="s">
        <v>168</v>
      </c>
      <c r="B27" s="8">
        <f>HLOOKUP($B$20,$G$20:$BN$27,$F27,FALSE)</f>
        <v>3.2866050171653747</v>
      </c>
      <c r="C27" s="8">
        <f>HLOOKUP($C$20,$G$20:$BN$27,$F27,FALSE)</f>
        <v>3.1971870124550241</v>
      </c>
      <c r="D27" s="45">
        <f t="shared" si="18"/>
        <v>-2.7206799795940095E-2</v>
      </c>
      <c r="F27" s="57">
        <f t="shared" si="17"/>
        <v>8</v>
      </c>
      <c r="G27" s="5" t="s">
        <v>168</v>
      </c>
      <c r="H27" s="33"/>
      <c r="I27" s="33"/>
      <c r="J27" s="33"/>
      <c r="K27" s="33"/>
      <c r="L27" s="33"/>
      <c r="M27" s="33"/>
      <c r="N27" s="33"/>
      <c r="O27" s="33"/>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 t="shared" ref="AI27:AN27" si="31">+AI25/AI26</f>
        <v>6.6148510154624569</v>
      </c>
      <c r="AJ27" s="8">
        <f t="shared" si="31"/>
        <v>6.7571632894011024</v>
      </c>
      <c r="AK27" s="8">
        <f t="shared" si="31"/>
        <v>6.503550688542922</v>
      </c>
      <c r="AL27" s="8">
        <f t="shared" si="31"/>
        <v>6.0271863179473426</v>
      </c>
      <c r="AM27" s="8">
        <f t="shared" si="31"/>
        <v>5.777674150877985</v>
      </c>
      <c r="AN27" s="8">
        <f t="shared" si="31"/>
        <v>5.0255839493700174</v>
      </c>
      <c r="AO27" s="8">
        <f t="shared" ref="AO27:AU27" si="32">+AO25/AO26</f>
        <v>4.4026503838763382</v>
      </c>
      <c r="AP27" s="8">
        <f t="shared" si="32"/>
        <v>4.1179334155877196</v>
      </c>
      <c r="AQ27" s="8">
        <f t="shared" si="32"/>
        <v>3.2866050171653747</v>
      </c>
      <c r="AR27" s="8">
        <f t="shared" si="32"/>
        <v>3.2061585736950207</v>
      </c>
      <c r="AS27" s="8">
        <f t="shared" si="32"/>
        <v>4.1264784169590838</v>
      </c>
      <c r="AT27" s="8">
        <f t="shared" si="32"/>
        <v>2.9598044146567726</v>
      </c>
      <c r="AU27" s="8">
        <f t="shared" si="32"/>
        <v>3.1971870124550241</v>
      </c>
    </row>
    <row r="29" spans="1:49">
      <c r="G29" s="1" t="s">
        <v>169</v>
      </c>
      <c r="R29" s="32"/>
      <c r="S29" s="32"/>
      <c r="T29" s="32"/>
      <c r="U29" s="32"/>
      <c r="V29" s="32"/>
      <c r="W29" s="32"/>
      <c r="X29" s="52"/>
      <c r="Y29" s="52"/>
      <c r="Z29" s="52"/>
      <c r="AA29" s="52"/>
      <c r="AB29" s="52"/>
      <c r="AC29" s="52"/>
      <c r="AD29" s="52"/>
      <c r="AE29" s="52"/>
      <c r="AF29" s="52"/>
      <c r="AG29" s="52"/>
      <c r="AH29" s="52"/>
      <c r="AI29" s="52"/>
      <c r="AJ29" s="52"/>
      <c r="AK29" s="52"/>
      <c r="AL29" s="52"/>
      <c r="AM29" s="52"/>
      <c r="AN29" s="52"/>
      <c r="AT29" s="52"/>
      <c r="AU29" s="100"/>
    </row>
    <row r="30" spans="1:49">
      <c r="B30" s="50"/>
      <c r="AU30" s="100"/>
    </row>
    <row r="31" spans="1:49" ht="119.25" customHeight="1">
      <c r="A31" s="111" t="s">
        <v>170</v>
      </c>
      <c r="B31" s="111"/>
      <c r="C31" s="111"/>
      <c r="D31" s="111"/>
    </row>
  </sheetData>
  <mergeCells count="87">
    <mergeCell ref="AU6:AU7"/>
    <mergeCell ref="AU20:AU21"/>
    <mergeCell ref="AT6:AT7"/>
    <mergeCell ref="AT20:AT21"/>
    <mergeCell ref="AS6:AS7"/>
    <mergeCell ref="AS20:AS21"/>
    <mergeCell ref="AK6:AK7"/>
    <mergeCell ref="AK20:AK21"/>
    <mergeCell ref="AJ6:AJ7"/>
    <mergeCell ref="AJ20:AJ21"/>
    <mergeCell ref="AL6:AL7"/>
    <mergeCell ref="AL20:AL21"/>
    <mergeCell ref="AR6:AR7"/>
    <mergeCell ref="AR20:AR21"/>
    <mergeCell ref="AQ6:AQ7"/>
    <mergeCell ref="AQ20:AQ21"/>
    <mergeCell ref="AF6:AF7"/>
    <mergeCell ref="AF20:AF21"/>
    <mergeCell ref="AP6:AP7"/>
    <mergeCell ref="AP20:AP21"/>
    <mergeCell ref="AO6:AO7"/>
    <mergeCell ref="AO20:AO21"/>
    <mergeCell ref="AN6:AN7"/>
    <mergeCell ref="AN20:AN21"/>
    <mergeCell ref="AI6:AI7"/>
    <mergeCell ref="AI20:AI21"/>
    <mergeCell ref="AM6:AM7"/>
    <mergeCell ref="AM20:AM21"/>
    <mergeCell ref="AE20:AE21"/>
    <mergeCell ref="AE6:AE7"/>
    <mergeCell ref="AH6:AH7"/>
    <mergeCell ref="AH20:AH21"/>
    <mergeCell ref="AG6:AG7"/>
    <mergeCell ref="AG20:AG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R20:R21"/>
    <mergeCell ref="S20:S21"/>
    <mergeCell ref="O20:O21"/>
    <mergeCell ref="P20:P21"/>
    <mergeCell ref="Q20:Q21"/>
    <mergeCell ref="M20:M21"/>
    <mergeCell ref="N20:N21"/>
    <mergeCell ref="M6:M7"/>
    <mergeCell ref="N6:N7"/>
    <mergeCell ref="L6:L7"/>
    <mergeCell ref="B6:B7"/>
    <mergeCell ref="C6:C7"/>
    <mergeCell ref="B20:B21"/>
    <mergeCell ref="C20:C21"/>
    <mergeCell ref="L20:L21"/>
    <mergeCell ref="D20:D21"/>
    <mergeCell ref="D6:D7"/>
    <mergeCell ref="K6:K7"/>
    <mergeCell ref="I20:I21"/>
    <mergeCell ref="J20:J21"/>
    <mergeCell ref="K20:K21"/>
    <mergeCell ref="A31:D31"/>
    <mergeCell ref="P6:P7"/>
    <mergeCell ref="W6:W7"/>
    <mergeCell ref="W20:W21"/>
    <mergeCell ref="S6:S7"/>
    <mergeCell ref="T6:T7"/>
    <mergeCell ref="U6:U7"/>
    <mergeCell ref="V6:V7"/>
    <mergeCell ref="Q6:Q7"/>
    <mergeCell ref="R6:R7"/>
    <mergeCell ref="U20:U21"/>
    <mergeCell ref="V20:V21"/>
    <mergeCell ref="H6:H7"/>
    <mergeCell ref="H20:H21"/>
    <mergeCell ref="I6:I7"/>
    <mergeCell ref="J6:J7"/>
  </mergeCells>
  <pageMargins left="0.7" right="0.7" top="0.75" bottom="0.75" header="0.3" footer="0.3"/>
  <pageSetup orientation="portrait" r:id="rId1"/>
  <ignoredErrors>
    <ignoredError sqref="AK11 AR11"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4:N22"/>
  <sheetViews>
    <sheetView zoomScale="86" zoomScaleNormal="86" workbookViewId="0">
      <selection activeCell="Q39" sqref="Q39:Q54"/>
    </sheetView>
  </sheetViews>
  <sheetFormatPr defaultColWidth="11.453125" defaultRowHeight="13.5"/>
  <cols>
    <col min="1" max="1" width="27.26953125" style="46" customWidth="1"/>
    <col min="2" max="4" width="7.7265625" style="46" hidden="1" customWidth="1"/>
    <col min="5" max="14" width="7.7265625" style="46" customWidth="1"/>
    <col min="15" max="17" width="8" style="46" customWidth="1"/>
    <col min="18" max="16384" width="11.453125" style="46"/>
  </cols>
  <sheetData>
    <row r="4" spans="1:14" ht="23.5">
      <c r="A4" s="11" t="s">
        <v>0</v>
      </c>
      <c r="B4" s="12"/>
      <c r="C4" s="12"/>
      <c r="D4" s="12"/>
      <c r="E4" s="12"/>
      <c r="F4" s="12"/>
      <c r="G4" s="12"/>
      <c r="H4" s="12"/>
      <c r="I4" s="12"/>
      <c r="J4" s="12"/>
      <c r="K4" s="12"/>
      <c r="L4" s="12"/>
      <c r="M4" s="12"/>
      <c r="N4" s="12"/>
    </row>
    <row r="5" spans="1:14" ht="14.25" customHeight="1">
      <c r="A5" s="1"/>
      <c r="B5" s="1"/>
    </row>
    <row r="6" spans="1:14">
      <c r="A6" s="3" t="s">
        <v>171</v>
      </c>
      <c r="B6" s="108">
        <v>2018</v>
      </c>
      <c r="C6" s="108">
        <v>2021</v>
      </c>
      <c r="D6" s="108">
        <v>2022</v>
      </c>
      <c r="E6" s="108">
        <v>2023</v>
      </c>
      <c r="F6" s="108">
        <v>2024</v>
      </c>
      <c r="G6" s="108">
        <v>2025</v>
      </c>
      <c r="H6" s="108">
        <v>2026</v>
      </c>
      <c r="I6" s="108">
        <v>2027</v>
      </c>
      <c r="J6" s="108">
        <v>2028</v>
      </c>
      <c r="K6" s="108">
        <v>2029</v>
      </c>
      <c r="L6" s="108">
        <v>2030</v>
      </c>
      <c r="M6" s="108">
        <v>2031</v>
      </c>
      <c r="N6" s="108">
        <v>2032</v>
      </c>
    </row>
    <row r="7" spans="1:14">
      <c r="A7" s="3" t="s">
        <v>105</v>
      </c>
      <c r="B7" s="108"/>
      <c r="C7" s="108"/>
      <c r="D7" s="108"/>
      <c r="E7" s="108"/>
      <c r="F7" s="108"/>
      <c r="G7" s="108"/>
      <c r="H7" s="108"/>
      <c r="I7" s="108"/>
      <c r="J7" s="108"/>
      <c r="K7" s="108"/>
      <c r="L7" s="108"/>
      <c r="M7" s="108"/>
      <c r="N7" s="108"/>
    </row>
    <row r="8" spans="1:14" ht="8.25" customHeight="1">
      <c r="A8" s="1"/>
      <c r="B8" s="1"/>
    </row>
    <row r="9" spans="1:14" ht="14.5">
      <c r="A9" s="5" t="s">
        <v>172</v>
      </c>
      <c r="B9" s="7">
        <v>0</v>
      </c>
      <c r="C9" s="69"/>
      <c r="D9" s="69"/>
      <c r="E9" s="69"/>
      <c r="F9" s="69"/>
      <c r="G9" s="69">
        <v>0</v>
      </c>
      <c r="H9" s="69">
        <v>0</v>
      </c>
      <c r="I9" s="69">
        <v>500</v>
      </c>
      <c r="J9" s="69">
        <v>0</v>
      </c>
      <c r="K9" s="69">
        <v>160</v>
      </c>
      <c r="L9" s="69">
        <v>500</v>
      </c>
      <c r="M9" s="69">
        <v>0</v>
      </c>
      <c r="N9" s="69">
        <v>600</v>
      </c>
    </row>
    <row r="14" spans="1:14" ht="23.5">
      <c r="A14" s="11" t="s">
        <v>37</v>
      </c>
      <c r="B14" s="12"/>
      <c r="C14" s="12"/>
      <c r="D14" s="12"/>
      <c r="E14" s="12"/>
      <c r="F14" s="12"/>
      <c r="G14" s="12"/>
      <c r="H14" s="12"/>
      <c r="I14" s="12"/>
      <c r="J14" s="12"/>
      <c r="K14" s="12"/>
      <c r="L14" s="12"/>
      <c r="M14" s="12"/>
      <c r="N14" s="12"/>
    </row>
    <row r="15" spans="1:14" ht="13.5" customHeight="1">
      <c r="A15" s="1"/>
      <c r="B15" s="1"/>
    </row>
    <row r="16" spans="1:14">
      <c r="A16" s="3" t="s">
        <v>171</v>
      </c>
      <c r="B16" s="108">
        <v>2018</v>
      </c>
      <c r="C16" s="108">
        <v>2021</v>
      </c>
      <c r="D16" s="108">
        <v>2022</v>
      </c>
      <c r="E16" s="108">
        <v>2023</v>
      </c>
      <c r="F16" s="108">
        <v>2024</v>
      </c>
      <c r="G16" s="108">
        <v>2025</v>
      </c>
      <c r="H16" s="108">
        <v>2026</v>
      </c>
      <c r="I16" s="108">
        <v>2027</v>
      </c>
      <c r="J16" s="112">
        <v>2028</v>
      </c>
      <c r="K16" s="108">
        <v>2029</v>
      </c>
      <c r="L16" s="108">
        <v>2030</v>
      </c>
      <c r="M16" s="60"/>
      <c r="N16" s="60"/>
    </row>
    <row r="17" spans="1:14">
      <c r="A17" s="3" t="s">
        <v>105</v>
      </c>
      <c r="B17" s="108"/>
      <c r="C17" s="108"/>
      <c r="D17" s="108"/>
      <c r="E17" s="108"/>
      <c r="F17" s="108"/>
      <c r="G17" s="108"/>
      <c r="H17" s="108"/>
      <c r="I17" s="108"/>
      <c r="J17" s="112"/>
      <c r="K17" s="108"/>
      <c r="L17" s="108"/>
      <c r="M17" s="60"/>
      <c r="N17" s="60"/>
    </row>
    <row r="18" spans="1:14">
      <c r="A18" s="1"/>
      <c r="B18" s="1"/>
    </row>
    <row r="19" spans="1:14" ht="14.5">
      <c r="A19" s="5" t="s">
        <v>173</v>
      </c>
      <c r="B19" s="7">
        <v>0</v>
      </c>
      <c r="C19" s="68"/>
      <c r="D19" s="68">
        <v>0</v>
      </c>
      <c r="E19" s="68"/>
      <c r="F19" s="68">
        <v>24</v>
      </c>
      <c r="G19" s="68">
        <v>16</v>
      </c>
      <c r="H19" s="68">
        <v>18</v>
      </c>
      <c r="I19" s="68">
        <v>168</v>
      </c>
      <c r="J19" s="55">
        <v>0</v>
      </c>
      <c r="K19" s="55">
        <v>0</v>
      </c>
      <c r="L19" s="55">
        <v>0</v>
      </c>
      <c r="M19" s="55"/>
      <c r="N19" s="55"/>
    </row>
    <row r="22" spans="1:14">
      <c r="A22" s="1" t="s">
        <v>174</v>
      </c>
      <c r="B22" s="1"/>
      <c r="C22" s="1"/>
      <c r="D22" s="1"/>
      <c r="E22" s="1"/>
      <c r="F22" s="1"/>
      <c r="G22" s="1"/>
      <c r="H22" s="1"/>
      <c r="I22" s="1"/>
    </row>
  </sheetData>
  <mergeCells count="24">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6" ma:contentTypeDescription="Crear nuevo documento." ma:contentTypeScope="" ma:versionID="e988ecc20b75482f22131ec352b3a932">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a6d9b3854f91be1d26eaaa8ae8560882"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B19CE3-F6DD-4592-9D4D-4AA770DD38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A24069-4881-426E-A50B-2B90C6FAFD2F}">
  <ds:schemaRef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8448556e-ab45-447d-a243-5b6498f30d0f"/>
    <ds:schemaRef ds:uri="af28b929-2fa0-4937-be7e-13907b45f7fc"/>
    <ds:schemaRef ds:uri="http://purl.org/dc/terms/"/>
    <ds:schemaRef ds:uri="http://purl.org/dc/elements/1.1/"/>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Installed Capacity</vt:lpstr>
      <vt:lpstr>Physical Sales &amp; Gx.</vt:lpstr>
      <vt:lpstr>Income Statement</vt:lpstr>
      <vt:lpstr>Non-Operating Income</vt:lpstr>
      <vt:lpstr>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Macarena Del Pilar Guell Moreno</cp:lastModifiedBy>
  <cp:revision/>
  <dcterms:created xsi:type="dcterms:W3CDTF">2017-12-05T18:05:13Z</dcterms:created>
  <dcterms:modified xsi:type="dcterms:W3CDTF">2024-01-30T20:08:25Z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